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ok\OneDrive\Documents\"/>
    </mc:Choice>
  </mc:AlternateContent>
  <xr:revisionPtr revIDLastSave="0" documentId="8_{762C197F-65E5-40BB-8E77-3D4EC0E6C0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 vs. Actual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122" i="1" l="1"/>
  <c r="AW122" i="1" s="1"/>
  <c r="AS122" i="1"/>
  <c r="AP122" i="1"/>
  <c r="AR122" i="1" s="1"/>
  <c r="AO122" i="1"/>
  <c r="AL122" i="1"/>
  <c r="AN122" i="1" s="1"/>
  <c r="AK122" i="1"/>
  <c r="AH122" i="1"/>
  <c r="AJ122" i="1" s="1"/>
  <c r="AG122" i="1"/>
  <c r="AD122" i="1"/>
  <c r="AF122" i="1" s="1"/>
  <c r="AC122" i="1"/>
  <c r="Z122" i="1"/>
  <c r="AB122" i="1" s="1"/>
  <c r="Y122" i="1"/>
  <c r="V122" i="1"/>
  <c r="X122" i="1" s="1"/>
  <c r="U122" i="1"/>
  <c r="R122" i="1"/>
  <c r="T122" i="1" s="1"/>
  <c r="Q122" i="1"/>
  <c r="N122" i="1"/>
  <c r="P122" i="1" s="1"/>
  <c r="M122" i="1"/>
  <c r="J122" i="1"/>
  <c r="L122" i="1" s="1"/>
  <c r="I122" i="1"/>
  <c r="F122" i="1"/>
  <c r="H122" i="1" s="1"/>
  <c r="E122" i="1"/>
  <c r="B122" i="1"/>
  <c r="AQ121" i="1"/>
  <c r="AP121" i="1"/>
  <c r="AS121" i="1" s="1"/>
  <c r="AM121" i="1"/>
  <c r="AL121" i="1"/>
  <c r="AO121" i="1" s="1"/>
  <c r="AI121" i="1"/>
  <c r="AH121" i="1"/>
  <c r="AK121" i="1" s="1"/>
  <c r="AE121" i="1"/>
  <c r="AD121" i="1"/>
  <c r="AG121" i="1" s="1"/>
  <c r="AA121" i="1"/>
  <c r="Z121" i="1"/>
  <c r="AC121" i="1" s="1"/>
  <c r="W121" i="1"/>
  <c r="V121" i="1"/>
  <c r="Y121" i="1" s="1"/>
  <c r="S121" i="1"/>
  <c r="R121" i="1"/>
  <c r="U121" i="1" s="1"/>
  <c r="O121" i="1"/>
  <c r="N121" i="1"/>
  <c r="Q121" i="1" s="1"/>
  <c r="K121" i="1"/>
  <c r="J121" i="1"/>
  <c r="M121" i="1" s="1"/>
  <c r="G121" i="1"/>
  <c r="F121" i="1"/>
  <c r="I121" i="1" s="1"/>
  <c r="C121" i="1"/>
  <c r="AU121" i="1" s="1"/>
  <c r="B121" i="1"/>
  <c r="AT121" i="1" s="1"/>
  <c r="AV121" i="1" s="1"/>
  <c r="AQ120" i="1"/>
  <c r="AQ123" i="1" s="1"/>
  <c r="AP120" i="1"/>
  <c r="AM120" i="1"/>
  <c r="AM123" i="1" s="1"/>
  <c r="AL120" i="1"/>
  <c r="AI120" i="1"/>
  <c r="AI123" i="1" s="1"/>
  <c r="AH120" i="1"/>
  <c r="AE120" i="1"/>
  <c r="AE123" i="1" s="1"/>
  <c r="AD120" i="1"/>
  <c r="AA120" i="1"/>
  <c r="AA123" i="1" s="1"/>
  <c r="Z120" i="1"/>
  <c r="W120" i="1"/>
  <c r="W123" i="1" s="1"/>
  <c r="V120" i="1"/>
  <c r="S120" i="1"/>
  <c r="S123" i="1" s="1"/>
  <c r="R120" i="1"/>
  <c r="O120" i="1"/>
  <c r="O123" i="1" s="1"/>
  <c r="N120" i="1"/>
  <c r="K120" i="1"/>
  <c r="K123" i="1" s="1"/>
  <c r="J120" i="1"/>
  <c r="G120" i="1"/>
  <c r="G123" i="1" s="1"/>
  <c r="F120" i="1"/>
  <c r="C120" i="1"/>
  <c r="C123" i="1" s="1"/>
  <c r="B120" i="1"/>
  <c r="AU119" i="1"/>
  <c r="AW119" i="1" s="1"/>
  <c r="AT119" i="1"/>
  <c r="AV119" i="1" s="1"/>
  <c r="AS119" i="1"/>
  <c r="AR119" i="1"/>
  <c r="AO119" i="1"/>
  <c r="AN119" i="1"/>
  <c r="AK119" i="1"/>
  <c r="AJ119" i="1"/>
  <c r="AG119" i="1"/>
  <c r="AF119" i="1"/>
  <c r="AC119" i="1"/>
  <c r="AB119" i="1"/>
  <c r="Y119" i="1"/>
  <c r="X119" i="1"/>
  <c r="U119" i="1"/>
  <c r="T119" i="1"/>
  <c r="Q119" i="1"/>
  <c r="P119" i="1"/>
  <c r="M119" i="1"/>
  <c r="L119" i="1"/>
  <c r="I119" i="1"/>
  <c r="H119" i="1"/>
  <c r="E119" i="1"/>
  <c r="D119" i="1"/>
  <c r="Z118" i="1"/>
  <c r="B118" i="1"/>
  <c r="AU117" i="1"/>
  <c r="AW117" i="1" s="1"/>
  <c r="AS117" i="1"/>
  <c r="AP117" i="1"/>
  <c r="AR117" i="1" s="1"/>
  <c r="AO117" i="1"/>
  <c r="AL117" i="1"/>
  <c r="AN117" i="1" s="1"/>
  <c r="AK117" i="1"/>
  <c r="AH117" i="1"/>
  <c r="AJ117" i="1" s="1"/>
  <c r="AG117" i="1"/>
  <c r="AD117" i="1"/>
  <c r="AC117" i="1"/>
  <c r="AB117" i="1"/>
  <c r="Y117" i="1"/>
  <c r="V117" i="1"/>
  <c r="U117" i="1"/>
  <c r="R117" i="1"/>
  <c r="T117" i="1" s="1"/>
  <c r="Q117" i="1"/>
  <c r="N117" i="1"/>
  <c r="P117" i="1" s="1"/>
  <c r="M117" i="1"/>
  <c r="J117" i="1"/>
  <c r="L117" i="1" s="1"/>
  <c r="I117" i="1"/>
  <c r="F117" i="1"/>
  <c r="H117" i="1" s="1"/>
  <c r="E117" i="1"/>
  <c r="D117" i="1"/>
  <c r="AQ116" i="1"/>
  <c r="AP116" i="1"/>
  <c r="AR116" i="1" s="1"/>
  <c r="AM116" i="1"/>
  <c r="AL116" i="1"/>
  <c r="AN116" i="1" s="1"/>
  <c r="AI116" i="1"/>
  <c r="AH116" i="1"/>
  <c r="AE116" i="1"/>
  <c r="AA116" i="1"/>
  <c r="W116" i="1"/>
  <c r="S116" i="1"/>
  <c r="R116" i="1"/>
  <c r="T116" i="1" s="1"/>
  <c r="O116" i="1"/>
  <c r="N116" i="1"/>
  <c r="K116" i="1"/>
  <c r="J116" i="1"/>
  <c r="L116" i="1" s="1"/>
  <c r="G116" i="1"/>
  <c r="F116" i="1"/>
  <c r="H116" i="1" s="1"/>
  <c r="C116" i="1"/>
  <c r="AU116" i="1" s="1"/>
  <c r="AQ115" i="1"/>
  <c r="AP115" i="1"/>
  <c r="AP118" i="1" s="1"/>
  <c r="AM115" i="1"/>
  <c r="AL115" i="1"/>
  <c r="AL118" i="1" s="1"/>
  <c r="AI115" i="1"/>
  <c r="AH115" i="1"/>
  <c r="AE115" i="1"/>
  <c r="AA115" i="1"/>
  <c r="W115" i="1"/>
  <c r="S115" i="1"/>
  <c r="R115" i="1"/>
  <c r="O115" i="1"/>
  <c r="N115" i="1"/>
  <c r="P115" i="1" s="1"/>
  <c r="K115" i="1"/>
  <c r="J115" i="1"/>
  <c r="G115" i="1"/>
  <c r="F115" i="1"/>
  <c r="C115" i="1"/>
  <c r="AU114" i="1"/>
  <c r="AT114" i="1"/>
  <c r="AS114" i="1"/>
  <c r="AR114" i="1"/>
  <c r="AO114" i="1"/>
  <c r="AN114" i="1"/>
  <c r="AK114" i="1"/>
  <c r="AJ114" i="1"/>
  <c r="AG114" i="1"/>
  <c r="AF114" i="1"/>
  <c r="AC114" i="1"/>
  <c r="AB114" i="1"/>
  <c r="Y114" i="1"/>
  <c r="X114" i="1"/>
  <c r="U114" i="1"/>
  <c r="T114" i="1"/>
  <c r="Q114" i="1"/>
  <c r="P114" i="1"/>
  <c r="M114" i="1"/>
  <c r="L114" i="1"/>
  <c r="I114" i="1"/>
  <c r="H114" i="1"/>
  <c r="E114" i="1"/>
  <c r="D114" i="1"/>
  <c r="AD113" i="1"/>
  <c r="Z113" i="1"/>
  <c r="V113" i="1"/>
  <c r="R113" i="1"/>
  <c r="N113" i="1"/>
  <c r="J113" i="1"/>
  <c r="F113" i="1"/>
  <c r="B113" i="1"/>
  <c r="AU112" i="1"/>
  <c r="AW112" i="1" s="1"/>
  <c r="AS112" i="1"/>
  <c r="AP112" i="1"/>
  <c r="AR112" i="1" s="1"/>
  <c r="AO112" i="1"/>
  <c r="AL112" i="1"/>
  <c r="AN112" i="1" s="1"/>
  <c r="AK112" i="1"/>
  <c r="AH112" i="1"/>
  <c r="AG112" i="1"/>
  <c r="AF112" i="1"/>
  <c r="AC112" i="1"/>
  <c r="AB112" i="1"/>
  <c r="Y112" i="1"/>
  <c r="X112" i="1"/>
  <c r="U112" i="1"/>
  <c r="T112" i="1"/>
  <c r="Q112" i="1"/>
  <c r="P112" i="1"/>
  <c r="M112" i="1"/>
  <c r="L112" i="1"/>
  <c r="I112" i="1"/>
  <c r="H112" i="1"/>
  <c r="E112" i="1"/>
  <c r="D112" i="1"/>
  <c r="AQ111" i="1"/>
  <c r="AP111" i="1"/>
  <c r="AM111" i="1"/>
  <c r="AL111" i="1"/>
  <c r="AN111" i="1" s="1"/>
  <c r="AI111" i="1"/>
  <c r="AH111" i="1"/>
  <c r="AE111" i="1"/>
  <c r="AA111" i="1"/>
  <c r="W111" i="1"/>
  <c r="S111" i="1"/>
  <c r="O111" i="1"/>
  <c r="K111" i="1"/>
  <c r="G111" i="1"/>
  <c r="C111" i="1"/>
  <c r="AQ110" i="1"/>
  <c r="AP110" i="1"/>
  <c r="AM110" i="1"/>
  <c r="AL110" i="1"/>
  <c r="AI110" i="1"/>
  <c r="AH110" i="1"/>
  <c r="AE110" i="1"/>
  <c r="AF110" i="1" s="1"/>
  <c r="AA110" i="1"/>
  <c r="W110" i="1"/>
  <c r="S110" i="1"/>
  <c r="O110" i="1"/>
  <c r="K110" i="1"/>
  <c r="M110" i="1" s="1"/>
  <c r="G110" i="1"/>
  <c r="C110" i="1"/>
  <c r="AU109" i="1"/>
  <c r="AW109" i="1" s="1"/>
  <c r="AT109" i="1"/>
  <c r="AV109" i="1" s="1"/>
  <c r="AS109" i="1"/>
  <c r="AR109" i="1"/>
  <c r="AO109" i="1"/>
  <c r="AN109" i="1"/>
  <c r="AK109" i="1"/>
  <c r="AJ109" i="1"/>
  <c r="AG109" i="1"/>
  <c r="AF109" i="1"/>
  <c r="AC109" i="1"/>
  <c r="AB109" i="1"/>
  <c r="Y109" i="1"/>
  <c r="X109" i="1"/>
  <c r="U109" i="1"/>
  <c r="T109" i="1"/>
  <c r="Q109" i="1"/>
  <c r="P109" i="1"/>
  <c r="M109" i="1"/>
  <c r="L109" i="1"/>
  <c r="I109" i="1"/>
  <c r="H109" i="1"/>
  <c r="E109" i="1"/>
  <c r="D109" i="1"/>
  <c r="AP108" i="1"/>
  <c r="AL108" i="1"/>
  <c r="AH108" i="1"/>
  <c r="AD108" i="1"/>
  <c r="Z108" i="1"/>
  <c r="V108" i="1"/>
  <c r="R108" i="1"/>
  <c r="N108" i="1"/>
  <c r="J108" i="1"/>
  <c r="F108" i="1"/>
  <c r="AU107" i="1"/>
  <c r="AW107" i="1" s="1"/>
  <c r="AS107" i="1"/>
  <c r="AR107" i="1"/>
  <c r="AO107" i="1"/>
  <c r="AN107" i="1"/>
  <c r="AK107" i="1"/>
  <c r="AJ107" i="1"/>
  <c r="AG107" i="1"/>
  <c r="AF107" i="1"/>
  <c r="AC107" i="1"/>
  <c r="AB107" i="1"/>
  <c r="Y107" i="1"/>
  <c r="X107" i="1"/>
  <c r="U107" i="1"/>
  <c r="T107" i="1"/>
  <c r="Q107" i="1"/>
  <c r="P107" i="1"/>
  <c r="M107" i="1"/>
  <c r="L107" i="1"/>
  <c r="I107" i="1"/>
  <c r="H107" i="1"/>
  <c r="E107" i="1"/>
  <c r="B107" i="1"/>
  <c r="D107" i="1" s="1"/>
  <c r="AQ106" i="1"/>
  <c r="AM106" i="1"/>
  <c r="AI106" i="1"/>
  <c r="AE106" i="1"/>
  <c r="AA106" i="1"/>
  <c r="W106" i="1"/>
  <c r="S106" i="1"/>
  <c r="O106" i="1"/>
  <c r="K106" i="1"/>
  <c r="G106" i="1"/>
  <c r="C106" i="1"/>
  <c r="B106" i="1"/>
  <c r="AQ105" i="1"/>
  <c r="AR105" i="1" s="1"/>
  <c r="AM105" i="1"/>
  <c r="AI105" i="1"/>
  <c r="AK105" i="1" s="1"/>
  <c r="AE105" i="1"/>
  <c r="AA105" i="1"/>
  <c r="AB105" i="1" s="1"/>
  <c r="W105" i="1"/>
  <c r="S105" i="1"/>
  <c r="U105" i="1" s="1"/>
  <c r="O105" i="1"/>
  <c r="K105" i="1"/>
  <c r="L105" i="1" s="1"/>
  <c r="G105" i="1"/>
  <c r="C105" i="1"/>
  <c r="B105" i="1"/>
  <c r="AU104" i="1"/>
  <c r="AW104" i="1" s="1"/>
  <c r="AT104" i="1"/>
  <c r="AV104" i="1" s="1"/>
  <c r="AS104" i="1"/>
  <c r="AR104" i="1"/>
  <c r="AO104" i="1"/>
  <c r="AN104" i="1"/>
  <c r="AK104" i="1"/>
  <c r="AJ104" i="1"/>
  <c r="AG104" i="1"/>
  <c r="AF104" i="1"/>
  <c r="AC104" i="1"/>
  <c r="AB104" i="1"/>
  <c r="Y104" i="1"/>
  <c r="X104" i="1"/>
  <c r="U104" i="1"/>
  <c r="T104" i="1"/>
  <c r="Q104" i="1"/>
  <c r="P104" i="1"/>
  <c r="M104" i="1"/>
  <c r="L104" i="1"/>
  <c r="I104" i="1"/>
  <c r="H104" i="1"/>
  <c r="E104" i="1"/>
  <c r="D104" i="1"/>
  <c r="AP103" i="1"/>
  <c r="AL103" i="1"/>
  <c r="AH103" i="1"/>
  <c r="AD103" i="1"/>
  <c r="Z103" i="1"/>
  <c r="V103" i="1"/>
  <c r="R103" i="1"/>
  <c r="AU102" i="1"/>
  <c r="AW102" i="1" s="1"/>
  <c r="AS102" i="1"/>
  <c r="AR102" i="1"/>
  <c r="AO102" i="1"/>
  <c r="AN102" i="1"/>
  <c r="AK102" i="1"/>
  <c r="AJ102" i="1"/>
  <c r="AG102" i="1"/>
  <c r="AF102" i="1"/>
  <c r="AC102" i="1"/>
  <c r="AB102" i="1"/>
  <c r="Y102" i="1"/>
  <c r="X102" i="1"/>
  <c r="U102" i="1"/>
  <c r="T102" i="1"/>
  <c r="Q102" i="1"/>
  <c r="N102" i="1"/>
  <c r="P102" i="1" s="1"/>
  <c r="M102" i="1"/>
  <c r="J102" i="1"/>
  <c r="L102" i="1" s="1"/>
  <c r="I102" i="1"/>
  <c r="F102" i="1"/>
  <c r="H102" i="1" s="1"/>
  <c r="E102" i="1"/>
  <c r="B102" i="1"/>
  <c r="AQ101" i="1"/>
  <c r="AM101" i="1"/>
  <c r="AI101" i="1"/>
  <c r="AE101" i="1"/>
  <c r="AA101" i="1"/>
  <c r="W101" i="1"/>
  <c r="S101" i="1"/>
  <c r="O101" i="1"/>
  <c r="N101" i="1"/>
  <c r="P101" i="1" s="1"/>
  <c r="K101" i="1"/>
  <c r="J101" i="1"/>
  <c r="G101" i="1"/>
  <c r="F101" i="1"/>
  <c r="H101" i="1" s="1"/>
  <c r="C101" i="1"/>
  <c r="B101" i="1"/>
  <c r="AT101" i="1" s="1"/>
  <c r="AQ100" i="1"/>
  <c r="AM100" i="1"/>
  <c r="AI100" i="1"/>
  <c r="AE100" i="1"/>
  <c r="AA100" i="1"/>
  <c r="W100" i="1"/>
  <c r="S100" i="1"/>
  <c r="O100" i="1"/>
  <c r="N100" i="1"/>
  <c r="N103" i="1" s="1"/>
  <c r="K100" i="1"/>
  <c r="J100" i="1"/>
  <c r="J103" i="1" s="1"/>
  <c r="G100" i="1"/>
  <c r="F100" i="1"/>
  <c r="H100" i="1" s="1"/>
  <c r="C100" i="1"/>
  <c r="B100" i="1"/>
  <c r="AT100" i="1" s="1"/>
  <c r="AU99" i="1"/>
  <c r="AW99" i="1" s="1"/>
  <c r="AT99" i="1"/>
  <c r="AS99" i="1"/>
  <c r="AR99" i="1"/>
  <c r="AO99" i="1"/>
  <c r="AN99" i="1"/>
  <c r="AK99" i="1"/>
  <c r="AJ99" i="1"/>
  <c r="AG99" i="1"/>
  <c r="AF99" i="1"/>
  <c r="AC99" i="1"/>
  <c r="AB99" i="1"/>
  <c r="Y99" i="1"/>
  <c r="X99" i="1"/>
  <c r="U99" i="1"/>
  <c r="T99" i="1"/>
  <c r="Q99" i="1"/>
  <c r="P99" i="1"/>
  <c r="M99" i="1"/>
  <c r="L99" i="1"/>
  <c r="I99" i="1"/>
  <c r="H99" i="1"/>
  <c r="E99" i="1"/>
  <c r="D99" i="1"/>
  <c r="AU97" i="1"/>
  <c r="AW97" i="1" s="1"/>
  <c r="AS97" i="1"/>
  <c r="AP97" i="1"/>
  <c r="AR97" i="1" s="1"/>
  <c r="AO97" i="1"/>
  <c r="AL97" i="1"/>
  <c r="AN97" i="1" s="1"/>
  <c r="AK97" i="1"/>
  <c r="AH97" i="1"/>
  <c r="AJ97" i="1" s="1"/>
  <c r="AG97" i="1"/>
  <c r="AD97" i="1"/>
  <c r="AF97" i="1" s="1"/>
  <c r="AC97" i="1"/>
  <c r="Z97" i="1"/>
  <c r="AB97" i="1" s="1"/>
  <c r="Y97" i="1"/>
  <c r="V97" i="1"/>
  <c r="X97" i="1" s="1"/>
  <c r="U97" i="1"/>
  <c r="R97" i="1"/>
  <c r="T97" i="1" s="1"/>
  <c r="Q97" i="1"/>
  <c r="N97" i="1"/>
  <c r="P97" i="1" s="1"/>
  <c r="M97" i="1"/>
  <c r="J97" i="1"/>
  <c r="L97" i="1" s="1"/>
  <c r="I97" i="1"/>
  <c r="F97" i="1"/>
  <c r="H97" i="1" s="1"/>
  <c r="E97" i="1"/>
  <c r="B97" i="1"/>
  <c r="AT97" i="1" s="1"/>
  <c r="AV97" i="1" s="1"/>
  <c r="AQ96" i="1"/>
  <c r="AP96" i="1"/>
  <c r="AM96" i="1"/>
  <c r="AL96" i="1"/>
  <c r="AI96" i="1"/>
  <c r="AH96" i="1"/>
  <c r="AJ96" i="1" s="1"/>
  <c r="AE96" i="1"/>
  <c r="AD96" i="1"/>
  <c r="AF96" i="1" s="1"/>
  <c r="AA96" i="1"/>
  <c r="Z96" i="1"/>
  <c r="AB96" i="1" s="1"/>
  <c r="W96" i="1"/>
  <c r="V96" i="1"/>
  <c r="X96" i="1" s="1"/>
  <c r="S96" i="1"/>
  <c r="R96" i="1"/>
  <c r="T96" i="1" s="1"/>
  <c r="O96" i="1"/>
  <c r="N96" i="1"/>
  <c r="P96" i="1" s="1"/>
  <c r="K96" i="1"/>
  <c r="J96" i="1"/>
  <c r="L96" i="1" s="1"/>
  <c r="G96" i="1"/>
  <c r="F96" i="1"/>
  <c r="H96" i="1" s="1"/>
  <c r="C96" i="1"/>
  <c r="B96" i="1"/>
  <c r="AQ95" i="1"/>
  <c r="AP95" i="1"/>
  <c r="AM95" i="1"/>
  <c r="AL95" i="1"/>
  <c r="AN95" i="1" s="1"/>
  <c r="AI95" i="1"/>
  <c r="AH95" i="1"/>
  <c r="AE95" i="1"/>
  <c r="AD95" i="1"/>
  <c r="AA95" i="1"/>
  <c r="Z95" i="1"/>
  <c r="W95" i="1"/>
  <c r="V95" i="1"/>
  <c r="S95" i="1"/>
  <c r="R95" i="1"/>
  <c r="O95" i="1"/>
  <c r="N95" i="1"/>
  <c r="K95" i="1"/>
  <c r="J95" i="1"/>
  <c r="G95" i="1"/>
  <c r="F95" i="1"/>
  <c r="C95" i="1"/>
  <c r="B95" i="1"/>
  <c r="AU94" i="1"/>
  <c r="AW94" i="1" s="1"/>
  <c r="AT94" i="1"/>
  <c r="AV94" i="1" s="1"/>
  <c r="AS94" i="1"/>
  <c r="AR94" i="1"/>
  <c r="AO94" i="1"/>
  <c r="AN94" i="1"/>
  <c r="AK94" i="1"/>
  <c r="AJ94" i="1"/>
  <c r="AG94" i="1"/>
  <c r="AF94" i="1"/>
  <c r="AC94" i="1"/>
  <c r="AB94" i="1"/>
  <c r="Y94" i="1"/>
  <c r="X94" i="1"/>
  <c r="U94" i="1"/>
  <c r="T94" i="1"/>
  <c r="Q94" i="1"/>
  <c r="P94" i="1"/>
  <c r="M94" i="1"/>
  <c r="L94" i="1"/>
  <c r="I94" i="1"/>
  <c r="H94" i="1"/>
  <c r="E94" i="1"/>
  <c r="D94" i="1"/>
  <c r="AU92" i="1"/>
  <c r="AW92" i="1" s="1"/>
  <c r="AS92" i="1"/>
  <c r="AP92" i="1"/>
  <c r="AR92" i="1" s="1"/>
  <c r="AO92" i="1"/>
  <c r="AL92" i="1"/>
  <c r="AN92" i="1" s="1"/>
  <c r="AK92" i="1"/>
  <c r="AH92" i="1"/>
  <c r="AJ92" i="1" s="1"/>
  <c r="AG92" i="1"/>
  <c r="AD92" i="1"/>
  <c r="AF92" i="1" s="1"/>
  <c r="AC92" i="1"/>
  <c r="Z92" i="1"/>
  <c r="AB92" i="1" s="1"/>
  <c r="Y92" i="1"/>
  <c r="V92" i="1"/>
  <c r="X92" i="1" s="1"/>
  <c r="U92" i="1"/>
  <c r="R92" i="1"/>
  <c r="T92" i="1" s="1"/>
  <c r="Q92" i="1"/>
  <c r="N92" i="1"/>
  <c r="P92" i="1" s="1"/>
  <c r="M92" i="1"/>
  <c r="J92" i="1"/>
  <c r="L92" i="1" s="1"/>
  <c r="I92" i="1"/>
  <c r="F92" i="1"/>
  <c r="H92" i="1" s="1"/>
  <c r="E92" i="1"/>
  <c r="B92" i="1"/>
  <c r="D92" i="1" s="1"/>
  <c r="AQ91" i="1"/>
  <c r="AP91" i="1"/>
  <c r="AM91" i="1"/>
  <c r="AL91" i="1"/>
  <c r="AI91" i="1"/>
  <c r="AH91" i="1"/>
  <c r="AE91" i="1"/>
  <c r="AD91" i="1"/>
  <c r="AA91" i="1"/>
  <c r="Z91" i="1"/>
  <c r="W91" i="1"/>
  <c r="V91" i="1"/>
  <c r="S91" i="1"/>
  <c r="R91" i="1"/>
  <c r="O91" i="1"/>
  <c r="N91" i="1"/>
  <c r="K91" i="1"/>
  <c r="J91" i="1"/>
  <c r="G91" i="1"/>
  <c r="F91" i="1"/>
  <c r="C91" i="1"/>
  <c r="B91" i="1"/>
  <c r="AT91" i="1" s="1"/>
  <c r="AQ90" i="1"/>
  <c r="AQ93" i="1" s="1"/>
  <c r="AP90" i="1"/>
  <c r="AP93" i="1" s="1"/>
  <c r="AR93" i="1" s="1"/>
  <c r="AM90" i="1"/>
  <c r="AM93" i="1" s="1"/>
  <c r="AL90" i="1"/>
  <c r="AL93" i="1" s="1"/>
  <c r="AI90" i="1"/>
  <c r="AI93" i="1" s="1"/>
  <c r="AH90" i="1"/>
  <c r="AH93" i="1" s="1"/>
  <c r="AE90" i="1"/>
  <c r="AE93" i="1" s="1"/>
  <c r="AD90" i="1"/>
  <c r="AA90" i="1"/>
  <c r="Z90" i="1"/>
  <c r="Z93" i="1" s="1"/>
  <c r="W90" i="1"/>
  <c r="V90" i="1"/>
  <c r="V93" i="1" s="1"/>
  <c r="S90" i="1"/>
  <c r="R90" i="1"/>
  <c r="R93" i="1" s="1"/>
  <c r="O90" i="1"/>
  <c r="N90" i="1"/>
  <c r="K90" i="1"/>
  <c r="J90" i="1"/>
  <c r="J93" i="1" s="1"/>
  <c r="G90" i="1"/>
  <c r="F90" i="1"/>
  <c r="F93" i="1" s="1"/>
  <c r="C90" i="1"/>
  <c r="B90" i="1"/>
  <c r="AU89" i="1"/>
  <c r="AT89" i="1"/>
  <c r="AS89" i="1"/>
  <c r="AR89" i="1"/>
  <c r="AO89" i="1"/>
  <c r="AN89" i="1"/>
  <c r="AK89" i="1"/>
  <c r="AJ89" i="1"/>
  <c r="AG89" i="1"/>
  <c r="AF89" i="1"/>
  <c r="AC89" i="1"/>
  <c r="AB89" i="1"/>
  <c r="Y89" i="1"/>
  <c r="X89" i="1"/>
  <c r="U89" i="1"/>
  <c r="T89" i="1"/>
  <c r="Q89" i="1"/>
  <c r="P89" i="1"/>
  <c r="M89" i="1"/>
  <c r="L89" i="1"/>
  <c r="I89" i="1"/>
  <c r="H89" i="1"/>
  <c r="E89" i="1"/>
  <c r="D89" i="1"/>
  <c r="AL88" i="1"/>
  <c r="AH88" i="1"/>
  <c r="AD88" i="1"/>
  <c r="Z88" i="1"/>
  <c r="V88" i="1"/>
  <c r="R88" i="1"/>
  <c r="N88" i="1"/>
  <c r="J88" i="1"/>
  <c r="F88" i="1"/>
  <c r="B88" i="1"/>
  <c r="AU87" i="1"/>
  <c r="AW87" i="1" s="1"/>
  <c r="AS87" i="1"/>
  <c r="AP87" i="1"/>
  <c r="AO87" i="1"/>
  <c r="AN87" i="1"/>
  <c r="AK87" i="1"/>
  <c r="AJ87" i="1"/>
  <c r="AG87" i="1"/>
  <c r="AF87" i="1"/>
  <c r="AC87" i="1"/>
  <c r="AB87" i="1"/>
  <c r="Y87" i="1"/>
  <c r="X87" i="1"/>
  <c r="U87" i="1"/>
  <c r="T87" i="1"/>
  <c r="Q87" i="1"/>
  <c r="P87" i="1"/>
  <c r="M87" i="1"/>
  <c r="L87" i="1"/>
  <c r="I87" i="1"/>
  <c r="H87" i="1"/>
  <c r="E87" i="1"/>
  <c r="D87" i="1"/>
  <c r="AQ86" i="1"/>
  <c r="AP86" i="1"/>
  <c r="AM86" i="1"/>
  <c r="AI86" i="1"/>
  <c r="AE86" i="1"/>
  <c r="AG86" i="1" s="1"/>
  <c r="AA86" i="1"/>
  <c r="W86" i="1"/>
  <c r="S86" i="1"/>
  <c r="O86" i="1"/>
  <c r="Q86" i="1" s="1"/>
  <c r="K86" i="1"/>
  <c r="G86" i="1"/>
  <c r="C86" i="1"/>
  <c r="AQ85" i="1"/>
  <c r="AP85" i="1"/>
  <c r="AT85" i="1" s="1"/>
  <c r="AM85" i="1"/>
  <c r="AO85" i="1" s="1"/>
  <c r="AI85" i="1"/>
  <c r="AE85" i="1"/>
  <c r="AA85" i="1"/>
  <c r="W85" i="1"/>
  <c r="Y85" i="1" s="1"/>
  <c r="S85" i="1"/>
  <c r="O85" i="1"/>
  <c r="K85" i="1"/>
  <c r="G85" i="1"/>
  <c r="C85" i="1"/>
  <c r="AU84" i="1"/>
  <c r="AW84" i="1" s="1"/>
  <c r="AT84" i="1"/>
  <c r="AV84" i="1" s="1"/>
  <c r="AS84" i="1"/>
  <c r="AR84" i="1"/>
  <c r="AO84" i="1"/>
  <c r="AN84" i="1"/>
  <c r="AK84" i="1"/>
  <c r="AJ84" i="1"/>
  <c r="AG84" i="1"/>
  <c r="AF84" i="1"/>
  <c r="AC84" i="1"/>
  <c r="AB84" i="1"/>
  <c r="Y84" i="1"/>
  <c r="X84" i="1"/>
  <c r="U84" i="1"/>
  <c r="T84" i="1"/>
  <c r="Q84" i="1"/>
  <c r="P84" i="1"/>
  <c r="M84" i="1"/>
  <c r="L84" i="1"/>
  <c r="I84" i="1"/>
  <c r="H84" i="1"/>
  <c r="E84" i="1"/>
  <c r="D84" i="1"/>
  <c r="AP83" i="1"/>
  <c r="AL83" i="1"/>
  <c r="AH83" i="1"/>
  <c r="AD83" i="1"/>
  <c r="Z83" i="1"/>
  <c r="V83" i="1"/>
  <c r="R83" i="1"/>
  <c r="AU82" i="1"/>
  <c r="AW82" i="1" s="1"/>
  <c r="AS82" i="1"/>
  <c r="AR82" i="1"/>
  <c r="AO82" i="1"/>
  <c r="AN82" i="1"/>
  <c r="AK82" i="1"/>
  <c r="AJ82" i="1"/>
  <c r="AG82" i="1"/>
  <c r="AF82" i="1"/>
  <c r="AC82" i="1"/>
  <c r="AB82" i="1"/>
  <c r="Y82" i="1"/>
  <c r="X82" i="1"/>
  <c r="U82" i="1"/>
  <c r="T82" i="1"/>
  <c r="Q82" i="1"/>
  <c r="N82" i="1"/>
  <c r="P82" i="1" s="1"/>
  <c r="M82" i="1"/>
  <c r="J82" i="1"/>
  <c r="L82" i="1" s="1"/>
  <c r="I82" i="1"/>
  <c r="F82" i="1"/>
  <c r="E82" i="1"/>
  <c r="B82" i="1"/>
  <c r="D82" i="1" s="1"/>
  <c r="AQ81" i="1"/>
  <c r="AM81" i="1"/>
  <c r="AN81" i="1" s="1"/>
  <c r="AI81" i="1"/>
  <c r="AE81" i="1"/>
  <c r="AA81" i="1"/>
  <c r="W81" i="1"/>
  <c r="X81" i="1" s="1"/>
  <c r="S81" i="1"/>
  <c r="O81" i="1"/>
  <c r="N81" i="1"/>
  <c r="P81" i="1" s="1"/>
  <c r="K81" i="1"/>
  <c r="J81" i="1"/>
  <c r="G81" i="1"/>
  <c r="F81" i="1"/>
  <c r="H81" i="1" s="1"/>
  <c r="C81" i="1"/>
  <c r="B81" i="1"/>
  <c r="AQ80" i="1"/>
  <c r="AM80" i="1"/>
  <c r="AI80" i="1"/>
  <c r="AJ80" i="1" s="1"/>
  <c r="AE80" i="1"/>
  <c r="AA80" i="1"/>
  <c r="W80" i="1"/>
  <c r="S80" i="1"/>
  <c r="T80" i="1" s="1"/>
  <c r="O80" i="1"/>
  <c r="N80" i="1"/>
  <c r="N83" i="1" s="1"/>
  <c r="K80" i="1"/>
  <c r="J80" i="1"/>
  <c r="J83" i="1" s="1"/>
  <c r="G80" i="1"/>
  <c r="F80" i="1"/>
  <c r="C80" i="1"/>
  <c r="C83" i="1" s="1"/>
  <c r="B80" i="1"/>
  <c r="AU79" i="1"/>
  <c r="AW79" i="1" s="1"/>
  <c r="AT79" i="1"/>
  <c r="AS79" i="1"/>
  <c r="AR79" i="1"/>
  <c r="AO79" i="1"/>
  <c r="AN79" i="1"/>
  <c r="AK79" i="1"/>
  <c r="AJ79" i="1"/>
  <c r="AG79" i="1"/>
  <c r="AF79" i="1"/>
  <c r="AC79" i="1"/>
  <c r="AB79" i="1"/>
  <c r="Y79" i="1"/>
  <c r="X79" i="1"/>
  <c r="U79" i="1"/>
  <c r="T79" i="1"/>
  <c r="Q79" i="1"/>
  <c r="P79" i="1"/>
  <c r="M79" i="1"/>
  <c r="L79" i="1"/>
  <c r="I79" i="1"/>
  <c r="H79" i="1"/>
  <c r="E79" i="1"/>
  <c r="D79" i="1"/>
  <c r="AU77" i="1"/>
  <c r="AW77" i="1" s="1"/>
  <c r="AS77" i="1"/>
  <c r="AP77" i="1"/>
  <c r="AR77" i="1" s="1"/>
  <c r="AO77" i="1"/>
  <c r="AL77" i="1"/>
  <c r="AN77" i="1" s="1"/>
  <c r="AK77" i="1"/>
  <c r="AH77" i="1"/>
  <c r="AJ77" i="1" s="1"/>
  <c r="AG77" i="1"/>
  <c r="AD77" i="1"/>
  <c r="AF77" i="1" s="1"/>
  <c r="AC77" i="1"/>
  <c r="Z77" i="1"/>
  <c r="AB77" i="1" s="1"/>
  <c r="Y77" i="1"/>
  <c r="V77" i="1"/>
  <c r="X77" i="1" s="1"/>
  <c r="U77" i="1"/>
  <c r="R77" i="1"/>
  <c r="T77" i="1" s="1"/>
  <c r="Q77" i="1"/>
  <c r="N77" i="1"/>
  <c r="P77" i="1" s="1"/>
  <c r="M77" i="1"/>
  <c r="J77" i="1"/>
  <c r="L77" i="1" s="1"/>
  <c r="I77" i="1"/>
  <c r="F77" i="1"/>
  <c r="H77" i="1" s="1"/>
  <c r="E77" i="1"/>
  <c r="B77" i="1"/>
  <c r="AQ76" i="1"/>
  <c r="AP76" i="1"/>
  <c r="AR76" i="1" s="1"/>
  <c r="AM76" i="1"/>
  <c r="AL76" i="1"/>
  <c r="AN76" i="1" s="1"/>
  <c r="AI76" i="1"/>
  <c r="AH76" i="1"/>
  <c r="AJ76" i="1" s="1"/>
  <c r="AE76" i="1"/>
  <c r="AD76" i="1"/>
  <c r="AA76" i="1"/>
  <c r="Z76" i="1"/>
  <c r="AB76" i="1" s="1"/>
  <c r="W76" i="1"/>
  <c r="V76" i="1"/>
  <c r="X76" i="1" s="1"/>
  <c r="S76" i="1"/>
  <c r="R76" i="1"/>
  <c r="T76" i="1" s="1"/>
  <c r="O76" i="1"/>
  <c r="N76" i="1"/>
  <c r="K76" i="1"/>
  <c r="J76" i="1"/>
  <c r="L76" i="1" s="1"/>
  <c r="G76" i="1"/>
  <c r="F76" i="1"/>
  <c r="H76" i="1" s="1"/>
  <c r="C76" i="1"/>
  <c r="AU76" i="1" s="1"/>
  <c r="B76" i="1"/>
  <c r="D76" i="1" s="1"/>
  <c r="AQ75" i="1"/>
  <c r="AP75" i="1"/>
  <c r="AM75" i="1"/>
  <c r="AM78" i="1" s="1"/>
  <c r="AL75" i="1"/>
  <c r="AO75" i="1" s="1"/>
  <c r="AI75" i="1"/>
  <c r="AI78" i="1" s="1"/>
  <c r="AH75" i="1"/>
  <c r="AE75" i="1"/>
  <c r="AD75" i="1"/>
  <c r="AA75" i="1"/>
  <c r="Z75" i="1"/>
  <c r="W75" i="1"/>
  <c r="W78" i="1" s="1"/>
  <c r="V75" i="1"/>
  <c r="Y75" i="1" s="1"/>
  <c r="S75" i="1"/>
  <c r="S78" i="1" s="1"/>
  <c r="R75" i="1"/>
  <c r="O75" i="1"/>
  <c r="N75" i="1"/>
  <c r="K75" i="1"/>
  <c r="J75" i="1"/>
  <c r="G75" i="1"/>
  <c r="G78" i="1" s="1"/>
  <c r="F75" i="1"/>
  <c r="I75" i="1" s="1"/>
  <c r="C75" i="1"/>
  <c r="C78" i="1" s="1"/>
  <c r="B75" i="1"/>
  <c r="AU74" i="1"/>
  <c r="AW74" i="1" s="1"/>
  <c r="AT74" i="1"/>
  <c r="AV74" i="1" s="1"/>
  <c r="AS74" i="1"/>
  <c r="AR74" i="1"/>
  <c r="AO74" i="1"/>
  <c r="AN74" i="1"/>
  <c r="AK74" i="1"/>
  <c r="AJ74" i="1"/>
  <c r="AG74" i="1"/>
  <c r="AF74" i="1"/>
  <c r="AC74" i="1"/>
  <c r="AB74" i="1"/>
  <c r="Y74" i="1"/>
  <c r="X74" i="1"/>
  <c r="U74" i="1"/>
  <c r="T74" i="1"/>
  <c r="Q74" i="1"/>
  <c r="P74" i="1"/>
  <c r="M74" i="1"/>
  <c r="L74" i="1"/>
  <c r="I74" i="1"/>
  <c r="H74" i="1"/>
  <c r="E74" i="1"/>
  <c r="D74" i="1"/>
  <c r="AH73" i="1"/>
  <c r="AD73" i="1"/>
  <c r="Z73" i="1"/>
  <c r="R73" i="1"/>
  <c r="N73" i="1"/>
  <c r="J73" i="1"/>
  <c r="F73" i="1"/>
  <c r="B73" i="1"/>
  <c r="AU72" i="1"/>
  <c r="AW72" i="1" s="1"/>
  <c r="AS72" i="1"/>
  <c r="AP72" i="1"/>
  <c r="AR72" i="1" s="1"/>
  <c r="AO72" i="1"/>
  <c r="AL72" i="1"/>
  <c r="AN72" i="1" s="1"/>
  <c r="AK72" i="1"/>
  <c r="AJ72" i="1"/>
  <c r="AG72" i="1"/>
  <c r="AF72" i="1"/>
  <c r="AC72" i="1"/>
  <c r="AB72" i="1"/>
  <c r="Y72" i="1"/>
  <c r="V72" i="1"/>
  <c r="X72" i="1" s="1"/>
  <c r="U72" i="1"/>
  <c r="T72" i="1"/>
  <c r="Q72" i="1"/>
  <c r="P72" i="1"/>
  <c r="M72" i="1"/>
  <c r="L72" i="1"/>
  <c r="I72" i="1"/>
  <c r="H72" i="1"/>
  <c r="E72" i="1"/>
  <c r="D72" i="1"/>
  <c r="AQ71" i="1"/>
  <c r="AP71" i="1"/>
  <c r="AM71" i="1"/>
  <c r="AL71" i="1"/>
  <c r="AI71" i="1"/>
  <c r="AE71" i="1"/>
  <c r="AA71" i="1"/>
  <c r="W71" i="1"/>
  <c r="S71" i="1"/>
  <c r="O71" i="1"/>
  <c r="K71" i="1"/>
  <c r="G71" i="1"/>
  <c r="C71" i="1"/>
  <c r="AQ70" i="1"/>
  <c r="AP70" i="1"/>
  <c r="AM70" i="1"/>
  <c r="AL70" i="1"/>
  <c r="AN70" i="1" s="1"/>
  <c r="AI70" i="1"/>
  <c r="AE70" i="1"/>
  <c r="AA70" i="1"/>
  <c r="W70" i="1"/>
  <c r="S70" i="1"/>
  <c r="O70" i="1"/>
  <c r="K70" i="1"/>
  <c r="G70" i="1"/>
  <c r="C70" i="1"/>
  <c r="AU69" i="1"/>
  <c r="AW69" i="1" s="1"/>
  <c r="AT69" i="1"/>
  <c r="AV69" i="1" s="1"/>
  <c r="AS69" i="1"/>
  <c r="AR69" i="1"/>
  <c r="AO69" i="1"/>
  <c r="AN69" i="1"/>
  <c r="AK69" i="1"/>
  <c r="AJ69" i="1"/>
  <c r="AG69" i="1"/>
  <c r="AF69" i="1"/>
  <c r="AC69" i="1"/>
  <c r="AB69" i="1"/>
  <c r="Y69" i="1"/>
  <c r="X69" i="1"/>
  <c r="U69" i="1"/>
  <c r="T69" i="1"/>
  <c r="Q69" i="1"/>
  <c r="P69" i="1"/>
  <c r="M69" i="1"/>
  <c r="L69" i="1"/>
  <c r="I69" i="1"/>
  <c r="H69" i="1"/>
  <c r="E69" i="1"/>
  <c r="D69" i="1"/>
  <c r="AU67" i="1"/>
  <c r="AW67" i="1" s="1"/>
  <c r="AS67" i="1"/>
  <c r="AP67" i="1"/>
  <c r="AR67" i="1" s="1"/>
  <c r="AO67" i="1"/>
  <c r="AL67" i="1"/>
  <c r="AN67" i="1" s="1"/>
  <c r="AK67" i="1"/>
  <c r="AH67" i="1"/>
  <c r="AJ67" i="1" s="1"/>
  <c r="AG67" i="1"/>
  <c r="AD67" i="1"/>
  <c r="AF67" i="1" s="1"/>
  <c r="AC67" i="1"/>
  <c r="Z67" i="1"/>
  <c r="AB67" i="1" s="1"/>
  <c r="Y67" i="1"/>
  <c r="V67" i="1"/>
  <c r="X67" i="1" s="1"/>
  <c r="U67" i="1"/>
  <c r="R67" i="1"/>
  <c r="T67" i="1" s="1"/>
  <c r="Q67" i="1"/>
  <c r="N67" i="1"/>
  <c r="P67" i="1" s="1"/>
  <c r="M67" i="1"/>
  <c r="J67" i="1"/>
  <c r="L67" i="1" s="1"/>
  <c r="I67" i="1"/>
  <c r="F67" i="1"/>
  <c r="H67" i="1" s="1"/>
  <c r="E67" i="1"/>
  <c r="B67" i="1"/>
  <c r="AQ66" i="1"/>
  <c r="AP66" i="1"/>
  <c r="AM66" i="1"/>
  <c r="AL66" i="1"/>
  <c r="AN66" i="1" s="1"/>
  <c r="AI66" i="1"/>
  <c r="AH66" i="1"/>
  <c r="AE66" i="1"/>
  <c r="AD66" i="1"/>
  <c r="AF66" i="1" s="1"/>
  <c r="AA66" i="1"/>
  <c r="Z66" i="1"/>
  <c r="W66" i="1"/>
  <c r="V66" i="1"/>
  <c r="X66" i="1" s="1"/>
  <c r="S66" i="1"/>
  <c r="R66" i="1"/>
  <c r="O66" i="1"/>
  <c r="N66" i="1"/>
  <c r="P66" i="1" s="1"/>
  <c r="K66" i="1"/>
  <c r="J66" i="1"/>
  <c r="G66" i="1"/>
  <c r="F66" i="1"/>
  <c r="H66" i="1" s="1"/>
  <c r="C66" i="1"/>
  <c r="B66" i="1"/>
  <c r="AT66" i="1" s="1"/>
  <c r="AQ65" i="1"/>
  <c r="AP65" i="1"/>
  <c r="AP68" i="1" s="1"/>
  <c r="AM65" i="1"/>
  <c r="AL65" i="1"/>
  <c r="AL68" i="1" s="1"/>
  <c r="AI65" i="1"/>
  <c r="AH65" i="1"/>
  <c r="AH68" i="1" s="1"/>
  <c r="AE65" i="1"/>
  <c r="AD65" i="1"/>
  <c r="AD68" i="1" s="1"/>
  <c r="AA65" i="1"/>
  <c r="Z65" i="1"/>
  <c r="Z68" i="1" s="1"/>
  <c r="W65" i="1"/>
  <c r="V65" i="1"/>
  <c r="V68" i="1" s="1"/>
  <c r="S65" i="1"/>
  <c r="R65" i="1"/>
  <c r="R68" i="1" s="1"/>
  <c r="O65" i="1"/>
  <c r="N65" i="1"/>
  <c r="K65" i="1"/>
  <c r="J65" i="1"/>
  <c r="J68" i="1" s="1"/>
  <c r="G65" i="1"/>
  <c r="F65" i="1"/>
  <c r="F68" i="1" s="1"/>
  <c r="C65" i="1"/>
  <c r="B65" i="1"/>
  <c r="AU64" i="1"/>
  <c r="AW64" i="1" s="1"/>
  <c r="AT64" i="1"/>
  <c r="AS64" i="1"/>
  <c r="AR64" i="1"/>
  <c r="AO64" i="1"/>
  <c r="AN64" i="1"/>
  <c r="AK64" i="1"/>
  <c r="AJ64" i="1"/>
  <c r="AG64" i="1"/>
  <c r="AF64" i="1"/>
  <c r="AC64" i="1"/>
  <c r="AB64" i="1"/>
  <c r="Y64" i="1"/>
  <c r="X64" i="1"/>
  <c r="U64" i="1"/>
  <c r="T64" i="1"/>
  <c r="Q64" i="1"/>
  <c r="P64" i="1"/>
  <c r="M64" i="1"/>
  <c r="L64" i="1"/>
  <c r="I64" i="1"/>
  <c r="H64" i="1"/>
  <c r="E64" i="1"/>
  <c r="D64" i="1"/>
  <c r="AU62" i="1"/>
  <c r="AW62" i="1" s="1"/>
  <c r="AS62" i="1"/>
  <c r="AP62" i="1"/>
  <c r="AR62" i="1" s="1"/>
  <c r="AO62" i="1"/>
  <c r="AL62" i="1"/>
  <c r="AN62" i="1" s="1"/>
  <c r="AK62" i="1"/>
  <c r="AH62" i="1"/>
  <c r="AJ62" i="1" s="1"/>
  <c r="AG62" i="1"/>
  <c r="AD62" i="1"/>
  <c r="AF62" i="1" s="1"/>
  <c r="AC62" i="1"/>
  <c r="Z62" i="1"/>
  <c r="AB62" i="1" s="1"/>
  <c r="Y62" i="1"/>
  <c r="V62" i="1"/>
  <c r="X62" i="1" s="1"/>
  <c r="U62" i="1"/>
  <c r="R62" i="1"/>
  <c r="T62" i="1" s="1"/>
  <c r="Q62" i="1"/>
  <c r="N62" i="1"/>
  <c r="P62" i="1" s="1"/>
  <c r="M62" i="1"/>
  <c r="J62" i="1"/>
  <c r="L62" i="1" s="1"/>
  <c r="I62" i="1"/>
  <c r="F62" i="1"/>
  <c r="H62" i="1" s="1"/>
  <c r="E62" i="1"/>
  <c r="B62" i="1"/>
  <c r="AQ61" i="1"/>
  <c r="AP61" i="1"/>
  <c r="AM61" i="1"/>
  <c r="AL61" i="1"/>
  <c r="AI61" i="1"/>
  <c r="AH61" i="1"/>
  <c r="AE61" i="1"/>
  <c r="AD61" i="1"/>
  <c r="AA61" i="1"/>
  <c r="Z61" i="1"/>
  <c r="W61" i="1"/>
  <c r="V61" i="1"/>
  <c r="S61" i="1"/>
  <c r="R61" i="1"/>
  <c r="O61" i="1"/>
  <c r="N61" i="1"/>
  <c r="K61" i="1"/>
  <c r="J61" i="1"/>
  <c r="G61" i="1"/>
  <c r="F61" i="1"/>
  <c r="C61" i="1"/>
  <c r="AU61" i="1" s="1"/>
  <c r="B61" i="1"/>
  <c r="AQ60" i="1"/>
  <c r="AQ63" i="1" s="1"/>
  <c r="AP60" i="1"/>
  <c r="AM60" i="1"/>
  <c r="AM63" i="1" s="1"/>
  <c r="AL60" i="1"/>
  <c r="AI60" i="1"/>
  <c r="AI63" i="1" s="1"/>
  <c r="AH60" i="1"/>
  <c r="AE60" i="1"/>
  <c r="AE63" i="1" s="1"/>
  <c r="AD60" i="1"/>
  <c r="AA60" i="1"/>
  <c r="AA63" i="1" s="1"/>
  <c r="Z60" i="1"/>
  <c r="W60" i="1"/>
  <c r="W63" i="1" s="1"/>
  <c r="V60" i="1"/>
  <c r="S60" i="1"/>
  <c r="S63" i="1" s="1"/>
  <c r="R60" i="1"/>
  <c r="O60" i="1"/>
  <c r="O63" i="1" s="1"/>
  <c r="N60" i="1"/>
  <c r="K60" i="1"/>
  <c r="K63" i="1" s="1"/>
  <c r="J60" i="1"/>
  <c r="G60" i="1"/>
  <c r="G63" i="1" s="1"/>
  <c r="F60" i="1"/>
  <c r="C60" i="1"/>
  <c r="C63" i="1" s="1"/>
  <c r="B60" i="1"/>
  <c r="AU59" i="1"/>
  <c r="AW59" i="1" s="1"/>
  <c r="AT59" i="1"/>
  <c r="AV59" i="1" s="1"/>
  <c r="AS59" i="1"/>
  <c r="AR59" i="1"/>
  <c r="AO59" i="1"/>
  <c r="AN59" i="1"/>
  <c r="AK59" i="1"/>
  <c r="AJ59" i="1"/>
  <c r="AG59" i="1"/>
  <c r="AF59" i="1"/>
  <c r="AC59" i="1"/>
  <c r="AB59" i="1"/>
  <c r="Y59" i="1"/>
  <c r="X59" i="1"/>
  <c r="U59" i="1"/>
  <c r="T59" i="1"/>
  <c r="Q59" i="1"/>
  <c r="P59" i="1"/>
  <c r="M59" i="1"/>
  <c r="L59" i="1"/>
  <c r="I59" i="1"/>
  <c r="H59" i="1"/>
  <c r="E59" i="1"/>
  <c r="D59" i="1"/>
  <c r="AU57" i="1"/>
  <c r="AW57" i="1" s="1"/>
  <c r="AS57" i="1"/>
  <c r="AP57" i="1"/>
  <c r="AO57" i="1"/>
  <c r="AL57" i="1"/>
  <c r="AK57" i="1"/>
  <c r="AH57" i="1"/>
  <c r="AJ57" i="1" s="1"/>
  <c r="AG57" i="1"/>
  <c r="AD57" i="1"/>
  <c r="AC57" i="1"/>
  <c r="Z57" i="1"/>
  <c r="Y57" i="1"/>
  <c r="V57" i="1"/>
  <c r="U57" i="1"/>
  <c r="R57" i="1"/>
  <c r="T57" i="1" s="1"/>
  <c r="Q57" i="1"/>
  <c r="N57" i="1"/>
  <c r="M57" i="1"/>
  <c r="J57" i="1"/>
  <c r="I57" i="1"/>
  <c r="F57" i="1"/>
  <c r="E57" i="1"/>
  <c r="B57" i="1"/>
  <c r="D57" i="1" s="1"/>
  <c r="AQ56" i="1"/>
  <c r="AP56" i="1"/>
  <c r="AR56" i="1" s="1"/>
  <c r="AM56" i="1"/>
  <c r="AL56" i="1"/>
  <c r="AN56" i="1" s="1"/>
  <c r="AI56" i="1"/>
  <c r="AH56" i="1"/>
  <c r="AJ56" i="1" s="1"/>
  <c r="AE56" i="1"/>
  <c r="AD56" i="1"/>
  <c r="AF56" i="1" s="1"/>
  <c r="AA56" i="1"/>
  <c r="Z56" i="1"/>
  <c r="AB56" i="1" s="1"/>
  <c r="W56" i="1"/>
  <c r="V56" i="1"/>
  <c r="X56" i="1" s="1"/>
  <c r="S56" i="1"/>
  <c r="R56" i="1"/>
  <c r="T56" i="1" s="1"/>
  <c r="O56" i="1"/>
  <c r="N56" i="1"/>
  <c r="P56" i="1" s="1"/>
  <c r="K56" i="1"/>
  <c r="J56" i="1"/>
  <c r="L56" i="1" s="1"/>
  <c r="G56" i="1"/>
  <c r="F56" i="1"/>
  <c r="H56" i="1" s="1"/>
  <c r="C56" i="1"/>
  <c r="B56" i="1"/>
  <c r="AQ55" i="1"/>
  <c r="AP55" i="1"/>
  <c r="AR55" i="1" s="1"/>
  <c r="AM55" i="1"/>
  <c r="AL55" i="1"/>
  <c r="AN55" i="1" s="1"/>
  <c r="AI55" i="1"/>
  <c r="AH55" i="1"/>
  <c r="AE55" i="1"/>
  <c r="AD55" i="1"/>
  <c r="AF55" i="1" s="1"/>
  <c r="AA55" i="1"/>
  <c r="Z55" i="1"/>
  <c r="AB55" i="1" s="1"/>
  <c r="W55" i="1"/>
  <c r="V55" i="1"/>
  <c r="X55" i="1" s="1"/>
  <c r="S55" i="1"/>
  <c r="R55" i="1"/>
  <c r="O55" i="1"/>
  <c r="N55" i="1"/>
  <c r="P55" i="1" s="1"/>
  <c r="K55" i="1"/>
  <c r="J55" i="1"/>
  <c r="L55" i="1" s="1"/>
  <c r="G55" i="1"/>
  <c r="F55" i="1"/>
  <c r="H55" i="1" s="1"/>
  <c r="C55" i="1"/>
  <c r="B55" i="1"/>
  <c r="AU54" i="1"/>
  <c r="AW54" i="1" s="1"/>
  <c r="AT54" i="1"/>
  <c r="AV54" i="1" s="1"/>
  <c r="AS54" i="1"/>
  <c r="AR54" i="1"/>
  <c r="AO54" i="1"/>
  <c r="AN54" i="1"/>
  <c r="AK54" i="1"/>
  <c r="AJ54" i="1"/>
  <c r="AG54" i="1"/>
  <c r="AF54" i="1"/>
  <c r="AC54" i="1"/>
  <c r="AB54" i="1"/>
  <c r="Y54" i="1"/>
  <c r="X54" i="1"/>
  <c r="U54" i="1"/>
  <c r="T54" i="1"/>
  <c r="Q54" i="1"/>
  <c r="P54" i="1"/>
  <c r="M54" i="1"/>
  <c r="L54" i="1"/>
  <c r="I54" i="1"/>
  <c r="H54" i="1"/>
  <c r="E54" i="1"/>
  <c r="D54" i="1"/>
  <c r="AU52" i="1"/>
  <c r="AW52" i="1" s="1"/>
  <c r="AS52" i="1"/>
  <c r="AP52" i="1"/>
  <c r="AR52" i="1" s="1"/>
  <c r="AO52" i="1"/>
  <c r="AL52" i="1"/>
  <c r="AN52" i="1" s="1"/>
  <c r="AK52" i="1"/>
  <c r="AH52" i="1"/>
  <c r="AJ52" i="1" s="1"/>
  <c r="AG52" i="1"/>
  <c r="AD52" i="1"/>
  <c r="AF52" i="1" s="1"/>
  <c r="AC52" i="1"/>
  <c r="Z52" i="1"/>
  <c r="AB52" i="1" s="1"/>
  <c r="Y52" i="1"/>
  <c r="V52" i="1"/>
  <c r="X52" i="1" s="1"/>
  <c r="U52" i="1"/>
  <c r="R52" i="1"/>
  <c r="T52" i="1" s="1"/>
  <c r="Q52" i="1"/>
  <c r="N52" i="1"/>
  <c r="P52" i="1" s="1"/>
  <c r="M52" i="1"/>
  <c r="J52" i="1"/>
  <c r="I52" i="1"/>
  <c r="F52" i="1"/>
  <c r="H52" i="1" s="1"/>
  <c r="E52" i="1"/>
  <c r="B52" i="1"/>
  <c r="D52" i="1" s="1"/>
  <c r="AQ51" i="1"/>
  <c r="AP51" i="1"/>
  <c r="AR51" i="1" s="1"/>
  <c r="AM51" i="1"/>
  <c r="AL51" i="1"/>
  <c r="AI51" i="1"/>
  <c r="AH51" i="1"/>
  <c r="AJ51" i="1" s="1"/>
  <c r="AE51" i="1"/>
  <c r="AD51" i="1"/>
  <c r="AA51" i="1"/>
  <c r="Z51" i="1"/>
  <c r="AB51" i="1" s="1"/>
  <c r="W51" i="1"/>
  <c r="V51" i="1"/>
  <c r="S51" i="1"/>
  <c r="R51" i="1"/>
  <c r="T51" i="1" s="1"/>
  <c r="O51" i="1"/>
  <c r="N51" i="1"/>
  <c r="P51" i="1" s="1"/>
  <c r="K51" i="1"/>
  <c r="J51" i="1"/>
  <c r="L51" i="1" s="1"/>
  <c r="G51" i="1"/>
  <c r="F51" i="1"/>
  <c r="C51" i="1"/>
  <c r="B51" i="1"/>
  <c r="D51" i="1" s="1"/>
  <c r="AQ50" i="1"/>
  <c r="AQ53" i="1" s="1"/>
  <c r="AP50" i="1"/>
  <c r="AM50" i="1"/>
  <c r="AL50" i="1"/>
  <c r="AL53" i="1" s="1"/>
  <c r="AI50" i="1"/>
  <c r="AI53" i="1" s="1"/>
  <c r="AH50" i="1"/>
  <c r="AJ50" i="1" s="1"/>
  <c r="AE50" i="1"/>
  <c r="AD50" i="1"/>
  <c r="AD53" i="1" s="1"/>
  <c r="AA50" i="1"/>
  <c r="AA53" i="1" s="1"/>
  <c r="Z50" i="1"/>
  <c r="W50" i="1"/>
  <c r="V50" i="1"/>
  <c r="V53" i="1" s="1"/>
  <c r="S50" i="1"/>
  <c r="S53" i="1" s="1"/>
  <c r="R50" i="1"/>
  <c r="O50" i="1"/>
  <c r="N50" i="1"/>
  <c r="N53" i="1" s="1"/>
  <c r="K50" i="1"/>
  <c r="K53" i="1" s="1"/>
  <c r="J50" i="1"/>
  <c r="G50" i="1"/>
  <c r="F50" i="1"/>
  <c r="C50" i="1"/>
  <c r="C53" i="1" s="1"/>
  <c r="B50" i="1"/>
  <c r="AU49" i="1"/>
  <c r="AW49" i="1" s="1"/>
  <c r="AT49" i="1"/>
  <c r="AV49" i="1" s="1"/>
  <c r="AS49" i="1"/>
  <c r="AR49" i="1"/>
  <c r="AO49" i="1"/>
  <c r="AN49" i="1"/>
  <c r="AK49" i="1"/>
  <c r="AJ49" i="1"/>
  <c r="AG49" i="1"/>
  <c r="AF49" i="1"/>
  <c r="AC49" i="1"/>
  <c r="AB49" i="1"/>
  <c r="Y49" i="1"/>
  <c r="X49" i="1"/>
  <c r="U49" i="1"/>
  <c r="T49" i="1"/>
  <c r="Q49" i="1"/>
  <c r="P49" i="1"/>
  <c r="M49" i="1"/>
  <c r="L49" i="1"/>
  <c r="I49" i="1"/>
  <c r="H49" i="1"/>
  <c r="E49" i="1"/>
  <c r="D49" i="1"/>
  <c r="AU47" i="1"/>
  <c r="AW47" i="1" s="1"/>
  <c r="AS47" i="1"/>
  <c r="AP47" i="1"/>
  <c r="AO47" i="1"/>
  <c r="AL47" i="1"/>
  <c r="AK47" i="1"/>
  <c r="AH47" i="1"/>
  <c r="AJ47" i="1" s="1"/>
  <c r="AG47" i="1"/>
  <c r="AD47" i="1"/>
  <c r="AF47" i="1" s="1"/>
  <c r="AC47" i="1"/>
  <c r="Z47" i="1"/>
  <c r="Y47" i="1"/>
  <c r="V47" i="1"/>
  <c r="U47" i="1"/>
  <c r="R47" i="1"/>
  <c r="T47" i="1" s="1"/>
  <c r="Q47" i="1"/>
  <c r="N47" i="1"/>
  <c r="P47" i="1" s="1"/>
  <c r="M47" i="1"/>
  <c r="J47" i="1"/>
  <c r="L47" i="1" s="1"/>
  <c r="I47" i="1"/>
  <c r="F47" i="1"/>
  <c r="E47" i="1"/>
  <c r="B47" i="1"/>
  <c r="D47" i="1" s="1"/>
  <c r="AQ46" i="1"/>
  <c r="AP46" i="1"/>
  <c r="AM46" i="1"/>
  <c r="AL46" i="1"/>
  <c r="AI46" i="1"/>
  <c r="AH46" i="1"/>
  <c r="AE46" i="1"/>
  <c r="AD46" i="1"/>
  <c r="AA46" i="1"/>
  <c r="Z46" i="1"/>
  <c r="W46" i="1"/>
  <c r="V46" i="1"/>
  <c r="S46" i="1"/>
  <c r="R46" i="1"/>
  <c r="O46" i="1"/>
  <c r="N46" i="1"/>
  <c r="K46" i="1"/>
  <c r="J46" i="1"/>
  <c r="G46" i="1"/>
  <c r="F46" i="1"/>
  <c r="C46" i="1"/>
  <c r="B46" i="1"/>
  <c r="AT46" i="1" s="1"/>
  <c r="AQ45" i="1"/>
  <c r="AP45" i="1"/>
  <c r="AM45" i="1"/>
  <c r="AL45" i="1"/>
  <c r="AI45" i="1"/>
  <c r="AH45" i="1"/>
  <c r="AH48" i="1" s="1"/>
  <c r="AE45" i="1"/>
  <c r="AD45" i="1"/>
  <c r="AA45" i="1"/>
  <c r="Z45" i="1"/>
  <c r="W45" i="1"/>
  <c r="V45" i="1"/>
  <c r="S45" i="1"/>
  <c r="R45" i="1"/>
  <c r="R48" i="1" s="1"/>
  <c r="O45" i="1"/>
  <c r="N45" i="1"/>
  <c r="K45" i="1"/>
  <c r="J45" i="1"/>
  <c r="J48" i="1" s="1"/>
  <c r="G45" i="1"/>
  <c r="F45" i="1"/>
  <c r="C45" i="1"/>
  <c r="B45" i="1"/>
  <c r="AU44" i="1"/>
  <c r="AT44" i="1"/>
  <c r="AS44" i="1"/>
  <c r="AR44" i="1"/>
  <c r="AO44" i="1"/>
  <c r="AN44" i="1"/>
  <c r="AK44" i="1"/>
  <c r="AJ44" i="1"/>
  <c r="AG44" i="1"/>
  <c r="AF44" i="1"/>
  <c r="AC44" i="1"/>
  <c r="AB44" i="1"/>
  <c r="Y44" i="1"/>
  <c r="X44" i="1"/>
  <c r="U44" i="1"/>
  <c r="T44" i="1"/>
  <c r="Q44" i="1"/>
  <c r="P44" i="1"/>
  <c r="M44" i="1"/>
  <c r="L44" i="1"/>
  <c r="I44" i="1"/>
  <c r="H44" i="1"/>
  <c r="E44" i="1"/>
  <c r="D44" i="1"/>
  <c r="AU42" i="1"/>
  <c r="AW42" i="1" s="1"/>
  <c r="AS42" i="1"/>
  <c r="AP42" i="1"/>
  <c r="AR42" i="1" s="1"/>
  <c r="AO42" i="1"/>
  <c r="AL42" i="1"/>
  <c r="AN42" i="1" s="1"/>
  <c r="AK42" i="1"/>
  <c r="AH42" i="1"/>
  <c r="AJ42" i="1" s="1"/>
  <c r="AG42" i="1"/>
  <c r="AD42" i="1"/>
  <c r="AF42" i="1" s="1"/>
  <c r="AC42" i="1"/>
  <c r="Z42" i="1"/>
  <c r="AB42" i="1" s="1"/>
  <c r="Y42" i="1"/>
  <c r="V42" i="1"/>
  <c r="X42" i="1" s="1"/>
  <c r="U42" i="1"/>
  <c r="R42" i="1"/>
  <c r="T42" i="1" s="1"/>
  <c r="Q42" i="1"/>
  <c r="N42" i="1"/>
  <c r="P42" i="1" s="1"/>
  <c r="M42" i="1"/>
  <c r="J42" i="1"/>
  <c r="L42" i="1" s="1"/>
  <c r="I42" i="1"/>
  <c r="F42" i="1"/>
  <c r="H42" i="1" s="1"/>
  <c r="E42" i="1"/>
  <c r="B42" i="1"/>
  <c r="AQ41" i="1"/>
  <c r="AP41" i="1"/>
  <c r="AR41" i="1" s="1"/>
  <c r="AM41" i="1"/>
  <c r="AL41" i="1"/>
  <c r="AN41" i="1" s="1"/>
  <c r="AI41" i="1"/>
  <c r="AH41" i="1"/>
  <c r="AJ41" i="1" s="1"/>
  <c r="AE41" i="1"/>
  <c r="AD41" i="1"/>
  <c r="AF41" i="1" s="1"/>
  <c r="AA41" i="1"/>
  <c r="Z41" i="1"/>
  <c r="AB41" i="1" s="1"/>
  <c r="W41" i="1"/>
  <c r="V41" i="1"/>
  <c r="X41" i="1" s="1"/>
  <c r="S41" i="1"/>
  <c r="R41" i="1"/>
  <c r="T41" i="1" s="1"/>
  <c r="O41" i="1"/>
  <c r="N41" i="1"/>
  <c r="P41" i="1" s="1"/>
  <c r="K41" i="1"/>
  <c r="J41" i="1"/>
  <c r="L41" i="1" s="1"/>
  <c r="G41" i="1"/>
  <c r="F41" i="1"/>
  <c r="H41" i="1" s="1"/>
  <c r="C41" i="1"/>
  <c r="AU41" i="1" s="1"/>
  <c r="B41" i="1"/>
  <c r="AQ40" i="1"/>
  <c r="AP40" i="1"/>
  <c r="AM40" i="1"/>
  <c r="AL40" i="1"/>
  <c r="AI40" i="1"/>
  <c r="AH40" i="1"/>
  <c r="AE40" i="1"/>
  <c r="AD40" i="1"/>
  <c r="AA40" i="1"/>
  <c r="Z40" i="1"/>
  <c r="W40" i="1"/>
  <c r="V40" i="1"/>
  <c r="S40" i="1"/>
  <c r="R40" i="1"/>
  <c r="O40" i="1"/>
  <c r="N40" i="1"/>
  <c r="K40" i="1"/>
  <c r="J40" i="1"/>
  <c r="L40" i="1" s="1"/>
  <c r="G40" i="1"/>
  <c r="F40" i="1"/>
  <c r="C40" i="1"/>
  <c r="B40" i="1"/>
  <c r="AU39" i="1"/>
  <c r="AW39" i="1" s="1"/>
  <c r="AT39" i="1"/>
  <c r="AV39" i="1" s="1"/>
  <c r="AS39" i="1"/>
  <c r="AR39" i="1"/>
  <c r="AO39" i="1"/>
  <c r="AN39" i="1"/>
  <c r="AK39" i="1"/>
  <c r="AJ39" i="1"/>
  <c r="AG39" i="1"/>
  <c r="AF39" i="1"/>
  <c r="AC39" i="1"/>
  <c r="AB39" i="1"/>
  <c r="Y39" i="1"/>
  <c r="X39" i="1"/>
  <c r="U39" i="1"/>
  <c r="T39" i="1"/>
  <c r="Q39" i="1"/>
  <c r="P39" i="1"/>
  <c r="M39" i="1"/>
  <c r="L39" i="1"/>
  <c r="I39" i="1"/>
  <c r="H39" i="1"/>
  <c r="E39" i="1"/>
  <c r="D39" i="1"/>
  <c r="AU37" i="1"/>
  <c r="AW37" i="1" s="1"/>
  <c r="AS37" i="1"/>
  <c r="AP37" i="1"/>
  <c r="AR37" i="1" s="1"/>
  <c r="AO37" i="1"/>
  <c r="AL37" i="1"/>
  <c r="AN37" i="1" s="1"/>
  <c r="AK37" i="1"/>
  <c r="AH37" i="1"/>
  <c r="AJ37" i="1" s="1"/>
  <c r="AG37" i="1"/>
  <c r="AD37" i="1"/>
  <c r="AF37" i="1" s="1"/>
  <c r="AC37" i="1"/>
  <c r="Z37" i="1"/>
  <c r="AB37" i="1" s="1"/>
  <c r="Y37" i="1"/>
  <c r="V37" i="1"/>
  <c r="X37" i="1" s="1"/>
  <c r="U37" i="1"/>
  <c r="R37" i="1"/>
  <c r="T37" i="1" s="1"/>
  <c r="Q37" i="1"/>
  <c r="N37" i="1"/>
  <c r="P37" i="1" s="1"/>
  <c r="M37" i="1"/>
  <c r="J37" i="1"/>
  <c r="L37" i="1" s="1"/>
  <c r="I37" i="1"/>
  <c r="F37" i="1"/>
  <c r="H37" i="1" s="1"/>
  <c r="E37" i="1"/>
  <c r="B37" i="1"/>
  <c r="D37" i="1" s="1"/>
  <c r="AQ36" i="1"/>
  <c r="AP36" i="1"/>
  <c r="AM36" i="1"/>
  <c r="AL36" i="1"/>
  <c r="AI36" i="1"/>
  <c r="AH36" i="1"/>
  <c r="AE36" i="1"/>
  <c r="AD36" i="1"/>
  <c r="AF36" i="1" s="1"/>
  <c r="AA36" i="1"/>
  <c r="Z36" i="1"/>
  <c r="W36" i="1"/>
  <c r="V36" i="1"/>
  <c r="S36" i="1"/>
  <c r="R36" i="1"/>
  <c r="O36" i="1"/>
  <c r="N36" i="1"/>
  <c r="P36" i="1" s="1"/>
  <c r="K36" i="1"/>
  <c r="J36" i="1"/>
  <c r="G36" i="1"/>
  <c r="F36" i="1"/>
  <c r="C36" i="1"/>
  <c r="B36" i="1"/>
  <c r="AT36" i="1" s="1"/>
  <c r="AQ35" i="1"/>
  <c r="AP35" i="1"/>
  <c r="AP38" i="1" s="1"/>
  <c r="AM35" i="1"/>
  <c r="AL35" i="1"/>
  <c r="AL38" i="1" s="1"/>
  <c r="AI35" i="1"/>
  <c r="AH35" i="1"/>
  <c r="AE35" i="1"/>
  <c r="AD35" i="1"/>
  <c r="AA35" i="1"/>
  <c r="Z35" i="1"/>
  <c r="Z38" i="1" s="1"/>
  <c r="W35" i="1"/>
  <c r="V35" i="1"/>
  <c r="V38" i="1" s="1"/>
  <c r="S35" i="1"/>
  <c r="R35" i="1"/>
  <c r="O35" i="1"/>
  <c r="N35" i="1"/>
  <c r="N38" i="1" s="1"/>
  <c r="K35" i="1"/>
  <c r="J35" i="1"/>
  <c r="J38" i="1" s="1"/>
  <c r="G35" i="1"/>
  <c r="F35" i="1"/>
  <c r="F38" i="1" s="1"/>
  <c r="C35" i="1"/>
  <c r="B35" i="1"/>
  <c r="AU34" i="1"/>
  <c r="AW34" i="1" s="1"/>
  <c r="AT34" i="1"/>
  <c r="AS34" i="1"/>
  <c r="AR34" i="1"/>
  <c r="AO34" i="1"/>
  <c r="AN34" i="1"/>
  <c r="AK34" i="1"/>
  <c r="AJ34" i="1"/>
  <c r="AG34" i="1"/>
  <c r="AF34" i="1"/>
  <c r="AC34" i="1"/>
  <c r="AB34" i="1"/>
  <c r="Y34" i="1"/>
  <c r="X34" i="1"/>
  <c r="U34" i="1"/>
  <c r="T34" i="1"/>
  <c r="Q34" i="1"/>
  <c r="P34" i="1"/>
  <c r="M34" i="1"/>
  <c r="L34" i="1"/>
  <c r="I34" i="1"/>
  <c r="H34" i="1"/>
  <c r="E34" i="1"/>
  <c r="D34" i="1"/>
  <c r="AU32" i="1"/>
  <c r="AW32" i="1" s="1"/>
  <c r="AS32" i="1"/>
  <c r="AP32" i="1"/>
  <c r="AR32" i="1" s="1"/>
  <c r="AO32" i="1"/>
  <c r="AL32" i="1"/>
  <c r="AN32" i="1" s="1"/>
  <c r="AK32" i="1"/>
  <c r="AH32" i="1"/>
  <c r="AJ32" i="1" s="1"/>
  <c r="AG32" i="1"/>
  <c r="AD32" i="1"/>
  <c r="AF32" i="1" s="1"/>
  <c r="AC32" i="1"/>
  <c r="Z32" i="1"/>
  <c r="AB32" i="1" s="1"/>
  <c r="Y32" i="1"/>
  <c r="V32" i="1"/>
  <c r="X32" i="1" s="1"/>
  <c r="U32" i="1"/>
  <c r="R32" i="1"/>
  <c r="T32" i="1" s="1"/>
  <c r="Q32" i="1"/>
  <c r="N32" i="1"/>
  <c r="P32" i="1" s="1"/>
  <c r="M32" i="1"/>
  <c r="J32" i="1"/>
  <c r="I32" i="1"/>
  <c r="F32" i="1"/>
  <c r="E32" i="1"/>
  <c r="B32" i="1"/>
  <c r="AQ31" i="1"/>
  <c r="AP31" i="1"/>
  <c r="AM31" i="1"/>
  <c r="AL31" i="1"/>
  <c r="AI31" i="1"/>
  <c r="AH31" i="1"/>
  <c r="AK31" i="1" s="1"/>
  <c r="AE31" i="1"/>
  <c r="AD31" i="1"/>
  <c r="AA31" i="1"/>
  <c r="Z31" i="1"/>
  <c r="W31" i="1"/>
  <c r="V31" i="1"/>
  <c r="S31" i="1"/>
  <c r="R31" i="1"/>
  <c r="U31" i="1" s="1"/>
  <c r="O31" i="1"/>
  <c r="N31" i="1"/>
  <c r="K31" i="1"/>
  <c r="G31" i="1"/>
  <c r="C31" i="1"/>
  <c r="D31" i="1" s="1"/>
  <c r="AQ30" i="1"/>
  <c r="AP30" i="1"/>
  <c r="AP33" i="1" s="1"/>
  <c r="AM30" i="1"/>
  <c r="AL30" i="1"/>
  <c r="AI30" i="1"/>
  <c r="AH30" i="1"/>
  <c r="AE30" i="1"/>
  <c r="AD30" i="1"/>
  <c r="AA30" i="1"/>
  <c r="Z30" i="1"/>
  <c r="Z33" i="1" s="1"/>
  <c r="W30" i="1"/>
  <c r="V30" i="1"/>
  <c r="S30" i="1"/>
  <c r="R30" i="1"/>
  <c r="O30" i="1"/>
  <c r="N30" i="1"/>
  <c r="AT30" i="1" s="1"/>
  <c r="K30" i="1"/>
  <c r="G30" i="1"/>
  <c r="C30" i="1"/>
  <c r="AU29" i="1"/>
  <c r="AW29" i="1" s="1"/>
  <c r="AT29" i="1"/>
  <c r="AV29" i="1" s="1"/>
  <c r="AS29" i="1"/>
  <c r="AR29" i="1"/>
  <c r="AO29" i="1"/>
  <c r="AN29" i="1"/>
  <c r="AK29" i="1"/>
  <c r="AJ29" i="1"/>
  <c r="AG29" i="1"/>
  <c r="AF29" i="1"/>
  <c r="AC29" i="1"/>
  <c r="AB29" i="1"/>
  <c r="Y29" i="1"/>
  <c r="X29" i="1"/>
  <c r="U29" i="1"/>
  <c r="T29" i="1"/>
  <c r="Q29" i="1"/>
  <c r="P29" i="1"/>
  <c r="M29" i="1"/>
  <c r="L29" i="1"/>
  <c r="I29" i="1"/>
  <c r="H29" i="1"/>
  <c r="E29" i="1"/>
  <c r="D29" i="1"/>
  <c r="AU27" i="1"/>
  <c r="AW27" i="1" s="1"/>
  <c r="AS27" i="1"/>
  <c r="AP27" i="1"/>
  <c r="AR27" i="1" s="1"/>
  <c r="AO27" i="1"/>
  <c r="AL27" i="1"/>
  <c r="AN27" i="1" s="1"/>
  <c r="AK27" i="1"/>
  <c r="AH27" i="1"/>
  <c r="AJ27" i="1" s="1"/>
  <c r="AG27" i="1"/>
  <c r="AD27" i="1"/>
  <c r="AF27" i="1" s="1"/>
  <c r="AC27" i="1"/>
  <c r="Z27" i="1"/>
  <c r="AB27" i="1" s="1"/>
  <c r="Y27" i="1"/>
  <c r="V27" i="1"/>
  <c r="X27" i="1" s="1"/>
  <c r="U27" i="1"/>
  <c r="R27" i="1"/>
  <c r="T27" i="1" s="1"/>
  <c r="Q27" i="1"/>
  <c r="N27" i="1"/>
  <c r="P27" i="1" s="1"/>
  <c r="M27" i="1"/>
  <c r="J27" i="1"/>
  <c r="L27" i="1" s="1"/>
  <c r="I27" i="1"/>
  <c r="F27" i="1"/>
  <c r="H27" i="1" s="1"/>
  <c r="E27" i="1"/>
  <c r="B27" i="1"/>
  <c r="AQ26" i="1"/>
  <c r="AP26" i="1"/>
  <c r="AM26" i="1"/>
  <c r="AL26" i="1"/>
  <c r="AI26" i="1"/>
  <c r="AH26" i="1"/>
  <c r="AE26" i="1"/>
  <c r="AD26" i="1"/>
  <c r="AA26" i="1"/>
  <c r="Z26" i="1"/>
  <c r="W26" i="1"/>
  <c r="V26" i="1"/>
  <c r="S26" i="1"/>
  <c r="R26" i="1"/>
  <c r="O26" i="1"/>
  <c r="N26" i="1"/>
  <c r="K26" i="1"/>
  <c r="J26" i="1"/>
  <c r="G26" i="1"/>
  <c r="F26" i="1"/>
  <c r="C26" i="1"/>
  <c r="B26" i="1"/>
  <c r="AQ25" i="1"/>
  <c r="AP25" i="1"/>
  <c r="AP28" i="1" s="1"/>
  <c r="AM25" i="1"/>
  <c r="AL25" i="1"/>
  <c r="AL28" i="1" s="1"/>
  <c r="AI25" i="1"/>
  <c r="AI28" i="1" s="1"/>
  <c r="AH25" i="1"/>
  <c r="AE25" i="1"/>
  <c r="AD25" i="1"/>
  <c r="AA25" i="1"/>
  <c r="Z25" i="1"/>
  <c r="Z28" i="1" s="1"/>
  <c r="W25" i="1"/>
  <c r="V25" i="1"/>
  <c r="V28" i="1" s="1"/>
  <c r="S25" i="1"/>
  <c r="S28" i="1" s="1"/>
  <c r="R25" i="1"/>
  <c r="O25" i="1"/>
  <c r="N25" i="1"/>
  <c r="K25" i="1"/>
  <c r="J25" i="1"/>
  <c r="J28" i="1" s="1"/>
  <c r="G25" i="1"/>
  <c r="F25" i="1"/>
  <c r="F28" i="1" s="1"/>
  <c r="C25" i="1"/>
  <c r="C28" i="1" s="1"/>
  <c r="B25" i="1"/>
  <c r="AU24" i="1"/>
  <c r="AW24" i="1" s="1"/>
  <c r="AT24" i="1"/>
  <c r="AS24" i="1"/>
  <c r="AR24" i="1"/>
  <c r="AO24" i="1"/>
  <c r="AN24" i="1"/>
  <c r="AK24" i="1"/>
  <c r="AJ24" i="1"/>
  <c r="AG24" i="1"/>
  <c r="AF24" i="1"/>
  <c r="AC24" i="1"/>
  <c r="AB24" i="1"/>
  <c r="Y24" i="1"/>
  <c r="X24" i="1"/>
  <c r="U24" i="1"/>
  <c r="T24" i="1"/>
  <c r="Q24" i="1"/>
  <c r="P24" i="1"/>
  <c r="M24" i="1"/>
  <c r="L24" i="1"/>
  <c r="I24" i="1"/>
  <c r="H24" i="1"/>
  <c r="E24" i="1"/>
  <c r="D24" i="1"/>
  <c r="AU22" i="1"/>
  <c r="AW22" i="1" s="1"/>
  <c r="AS22" i="1"/>
  <c r="AP22" i="1"/>
  <c r="AR22" i="1" s="1"/>
  <c r="AO22" i="1"/>
  <c r="AL22" i="1"/>
  <c r="AN22" i="1" s="1"/>
  <c r="AK22" i="1"/>
  <c r="AH22" i="1"/>
  <c r="AJ22" i="1" s="1"/>
  <c r="AG22" i="1"/>
  <c r="AD22" i="1"/>
  <c r="AF22" i="1" s="1"/>
  <c r="AC22" i="1"/>
  <c r="Z22" i="1"/>
  <c r="AB22" i="1" s="1"/>
  <c r="Y22" i="1"/>
  <c r="V22" i="1"/>
  <c r="X22" i="1" s="1"/>
  <c r="U22" i="1"/>
  <c r="R22" i="1"/>
  <c r="T22" i="1" s="1"/>
  <c r="Q22" i="1"/>
  <c r="N22" i="1"/>
  <c r="P22" i="1" s="1"/>
  <c r="M22" i="1"/>
  <c r="J22" i="1"/>
  <c r="L22" i="1" s="1"/>
  <c r="I22" i="1"/>
  <c r="F22" i="1"/>
  <c r="H22" i="1" s="1"/>
  <c r="E22" i="1"/>
  <c r="B22" i="1"/>
  <c r="AQ21" i="1"/>
  <c r="AP21" i="1"/>
  <c r="AS21" i="1" s="1"/>
  <c r="AM21" i="1"/>
  <c r="AL21" i="1"/>
  <c r="AO21" i="1" s="1"/>
  <c r="AI21" i="1"/>
  <c r="AH21" i="1"/>
  <c r="AK21" i="1" s="1"/>
  <c r="AE21" i="1"/>
  <c r="AD21" i="1"/>
  <c r="AG21" i="1" s="1"/>
  <c r="AA21" i="1"/>
  <c r="Z21" i="1"/>
  <c r="AC21" i="1" s="1"/>
  <c r="W21" i="1"/>
  <c r="V21" i="1"/>
  <c r="Y21" i="1" s="1"/>
  <c r="S21" i="1"/>
  <c r="R21" i="1"/>
  <c r="U21" i="1" s="1"/>
  <c r="O21" i="1"/>
  <c r="N21" i="1"/>
  <c r="Q21" i="1" s="1"/>
  <c r="K21" i="1"/>
  <c r="J21" i="1"/>
  <c r="M21" i="1" s="1"/>
  <c r="G21" i="1"/>
  <c r="F21" i="1"/>
  <c r="I21" i="1" s="1"/>
  <c r="C21" i="1"/>
  <c r="AU21" i="1" s="1"/>
  <c r="B21" i="1"/>
  <c r="AT21" i="1" s="1"/>
  <c r="AV21" i="1" s="1"/>
  <c r="AQ20" i="1"/>
  <c r="AQ23" i="1" s="1"/>
  <c r="AP20" i="1"/>
  <c r="AM20" i="1"/>
  <c r="AM23" i="1" s="1"/>
  <c r="AL20" i="1"/>
  <c r="AI20" i="1"/>
  <c r="AI23" i="1" s="1"/>
  <c r="AH20" i="1"/>
  <c r="AE20" i="1"/>
  <c r="AE23" i="1" s="1"/>
  <c r="AD20" i="1"/>
  <c r="AA20" i="1"/>
  <c r="AA23" i="1" s="1"/>
  <c r="Z20" i="1"/>
  <c r="W20" i="1"/>
  <c r="W23" i="1" s="1"/>
  <c r="V20" i="1"/>
  <c r="S20" i="1"/>
  <c r="S23" i="1" s="1"/>
  <c r="R20" i="1"/>
  <c r="O20" i="1"/>
  <c r="O23" i="1" s="1"/>
  <c r="N20" i="1"/>
  <c r="K20" i="1"/>
  <c r="K23" i="1" s="1"/>
  <c r="J20" i="1"/>
  <c r="G20" i="1"/>
  <c r="G23" i="1" s="1"/>
  <c r="F20" i="1"/>
  <c r="C20" i="1"/>
  <c r="B20" i="1"/>
  <c r="AU19" i="1"/>
  <c r="AW19" i="1" s="1"/>
  <c r="AT19" i="1"/>
  <c r="AV19" i="1" s="1"/>
  <c r="AS19" i="1"/>
  <c r="AR19" i="1"/>
  <c r="AO19" i="1"/>
  <c r="AN19" i="1"/>
  <c r="AK19" i="1"/>
  <c r="AJ19" i="1"/>
  <c r="AG19" i="1"/>
  <c r="AF19" i="1"/>
  <c r="AC19" i="1"/>
  <c r="AB19" i="1"/>
  <c r="Y19" i="1"/>
  <c r="X19" i="1"/>
  <c r="U19" i="1"/>
  <c r="T19" i="1"/>
  <c r="Q19" i="1"/>
  <c r="P19" i="1"/>
  <c r="M19" i="1"/>
  <c r="L19" i="1"/>
  <c r="I19" i="1"/>
  <c r="H19" i="1"/>
  <c r="E19" i="1"/>
  <c r="D19" i="1"/>
  <c r="AU17" i="1"/>
  <c r="AW17" i="1" s="1"/>
  <c r="AS17" i="1"/>
  <c r="AP17" i="1"/>
  <c r="AR17" i="1" s="1"/>
  <c r="AO17" i="1"/>
  <c r="AL17" i="1"/>
  <c r="AN17" i="1" s="1"/>
  <c r="AK17" i="1"/>
  <c r="AH17" i="1"/>
  <c r="AJ17" i="1" s="1"/>
  <c r="AG17" i="1"/>
  <c r="AD17" i="1"/>
  <c r="AF17" i="1" s="1"/>
  <c r="AC17" i="1"/>
  <c r="Z17" i="1"/>
  <c r="AB17" i="1" s="1"/>
  <c r="Y17" i="1"/>
  <c r="V17" i="1"/>
  <c r="X17" i="1" s="1"/>
  <c r="U17" i="1"/>
  <c r="R17" i="1"/>
  <c r="T17" i="1" s="1"/>
  <c r="Q17" i="1"/>
  <c r="N17" i="1"/>
  <c r="P17" i="1" s="1"/>
  <c r="M17" i="1"/>
  <c r="J17" i="1"/>
  <c r="L17" i="1" s="1"/>
  <c r="I17" i="1"/>
  <c r="F17" i="1"/>
  <c r="H17" i="1" s="1"/>
  <c r="E17" i="1"/>
  <c r="B17" i="1"/>
  <c r="D17" i="1" s="1"/>
  <c r="AQ16" i="1"/>
  <c r="AP16" i="1"/>
  <c r="AM16" i="1"/>
  <c r="AL16" i="1"/>
  <c r="AN16" i="1" s="1"/>
  <c r="AI16" i="1"/>
  <c r="AH16" i="1"/>
  <c r="AE16" i="1"/>
  <c r="AD16" i="1"/>
  <c r="AF16" i="1" s="1"/>
  <c r="AA16" i="1"/>
  <c r="Z16" i="1"/>
  <c r="W16" i="1"/>
  <c r="V16" i="1"/>
  <c r="X16" i="1" s="1"/>
  <c r="S16" i="1"/>
  <c r="R16" i="1"/>
  <c r="O16" i="1"/>
  <c r="N16" i="1"/>
  <c r="P16" i="1" s="1"/>
  <c r="K16" i="1"/>
  <c r="J16" i="1"/>
  <c r="G16" i="1"/>
  <c r="F16" i="1"/>
  <c r="H16" i="1" s="1"/>
  <c r="C16" i="1"/>
  <c r="B16" i="1"/>
  <c r="AT16" i="1" s="1"/>
  <c r="AQ15" i="1"/>
  <c r="AP15" i="1"/>
  <c r="AM15" i="1"/>
  <c r="AL15" i="1"/>
  <c r="AL18" i="1" s="1"/>
  <c r="AI15" i="1"/>
  <c r="AH15" i="1"/>
  <c r="AH18" i="1" s="1"/>
  <c r="AE15" i="1"/>
  <c r="AD15" i="1"/>
  <c r="AD18" i="1" s="1"/>
  <c r="AA15" i="1"/>
  <c r="Z15" i="1"/>
  <c r="W15" i="1"/>
  <c r="V15" i="1"/>
  <c r="V18" i="1" s="1"/>
  <c r="S15" i="1"/>
  <c r="R15" i="1"/>
  <c r="R18" i="1" s="1"/>
  <c r="O15" i="1"/>
  <c r="N15" i="1"/>
  <c r="K15" i="1"/>
  <c r="J15" i="1"/>
  <c r="G15" i="1"/>
  <c r="F15" i="1"/>
  <c r="F18" i="1" s="1"/>
  <c r="C15" i="1"/>
  <c r="B15" i="1"/>
  <c r="AT15" i="1" s="1"/>
  <c r="AU14" i="1"/>
  <c r="AW14" i="1" s="1"/>
  <c r="AT14" i="1"/>
  <c r="AS14" i="1"/>
  <c r="AR14" i="1"/>
  <c r="AO14" i="1"/>
  <c r="AN14" i="1"/>
  <c r="AK14" i="1"/>
  <c r="AJ14" i="1"/>
  <c r="AG14" i="1"/>
  <c r="AF14" i="1"/>
  <c r="AC14" i="1"/>
  <c r="AB14" i="1"/>
  <c r="Y14" i="1"/>
  <c r="X14" i="1"/>
  <c r="U14" i="1"/>
  <c r="T14" i="1"/>
  <c r="Q14" i="1"/>
  <c r="P14" i="1"/>
  <c r="M14" i="1"/>
  <c r="L14" i="1"/>
  <c r="I14" i="1"/>
  <c r="H14" i="1"/>
  <c r="E14" i="1"/>
  <c r="D14" i="1"/>
  <c r="AU10" i="1"/>
  <c r="AW10" i="1" s="1"/>
  <c r="AS10" i="1"/>
  <c r="AP10" i="1"/>
  <c r="AR10" i="1" s="1"/>
  <c r="AO10" i="1"/>
  <c r="AL10" i="1"/>
  <c r="AN10" i="1" s="1"/>
  <c r="AK10" i="1"/>
  <c r="AH10" i="1"/>
  <c r="AJ10" i="1" s="1"/>
  <c r="AG10" i="1"/>
  <c r="AD10" i="1"/>
  <c r="AF10" i="1" s="1"/>
  <c r="AC10" i="1"/>
  <c r="Z10" i="1"/>
  <c r="AB10" i="1" s="1"/>
  <c r="Y10" i="1"/>
  <c r="V10" i="1"/>
  <c r="X10" i="1" s="1"/>
  <c r="U10" i="1"/>
  <c r="R10" i="1"/>
  <c r="T10" i="1" s="1"/>
  <c r="Q10" i="1"/>
  <c r="N10" i="1"/>
  <c r="P10" i="1" s="1"/>
  <c r="M10" i="1"/>
  <c r="J10" i="1"/>
  <c r="L10" i="1" s="1"/>
  <c r="I10" i="1"/>
  <c r="F10" i="1"/>
  <c r="H10" i="1" s="1"/>
  <c r="E10" i="1"/>
  <c r="B10" i="1"/>
  <c r="AQ9" i="1"/>
  <c r="AP9" i="1"/>
  <c r="AM9" i="1"/>
  <c r="AL9" i="1"/>
  <c r="AI9" i="1"/>
  <c r="AH9" i="1"/>
  <c r="AE9" i="1"/>
  <c r="AD9" i="1"/>
  <c r="AA9" i="1"/>
  <c r="Z9" i="1"/>
  <c r="W9" i="1"/>
  <c r="V9" i="1"/>
  <c r="S9" i="1"/>
  <c r="R9" i="1"/>
  <c r="O9" i="1"/>
  <c r="N9" i="1"/>
  <c r="K9" i="1"/>
  <c r="J9" i="1"/>
  <c r="G9" i="1"/>
  <c r="F9" i="1"/>
  <c r="C9" i="1"/>
  <c r="AU9" i="1" s="1"/>
  <c r="B9" i="1"/>
  <c r="AQ8" i="1"/>
  <c r="AQ11" i="1" s="1"/>
  <c r="AQ12" i="1" s="1"/>
  <c r="AP8" i="1"/>
  <c r="AM8" i="1"/>
  <c r="AM11" i="1" s="1"/>
  <c r="AM12" i="1" s="1"/>
  <c r="AL8" i="1"/>
  <c r="AI8" i="1"/>
  <c r="AI11" i="1" s="1"/>
  <c r="AI12" i="1" s="1"/>
  <c r="AH8" i="1"/>
  <c r="AE8" i="1"/>
  <c r="AE11" i="1" s="1"/>
  <c r="AE12" i="1" s="1"/>
  <c r="AD8" i="1"/>
  <c r="AA8" i="1"/>
  <c r="AA11" i="1" s="1"/>
  <c r="AA12" i="1" s="1"/>
  <c r="Z8" i="1"/>
  <c r="W8" i="1"/>
  <c r="W11" i="1" s="1"/>
  <c r="W12" i="1" s="1"/>
  <c r="V8" i="1"/>
  <c r="S8" i="1"/>
  <c r="S11" i="1" s="1"/>
  <c r="S12" i="1" s="1"/>
  <c r="R8" i="1"/>
  <c r="O8" i="1"/>
  <c r="O11" i="1" s="1"/>
  <c r="O12" i="1" s="1"/>
  <c r="N8" i="1"/>
  <c r="K8" i="1"/>
  <c r="K11" i="1" s="1"/>
  <c r="K12" i="1" s="1"/>
  <c r="J8" i="1"/>
  <c r="G8" i="1"/>
  <c r="G11" i="1" s="1"/>
  <c r="G12" i="1" s="1"/>
  <c r="F8" i="1"/>
  <c r="C8" i="1"/>
  <c r="B8" i="1"/>
  <c r="AT8" i="1" s="1"/>
  <c r="AU8" i="1" l="1"/>
  <c r="AV8" i="1" s="1"/>
  <c r="C11" i="1"/>
  <c r="C12" i="1" s="1"/>
  <c r="AT9" i="1"/>
  <c r="AV9" i="1" s="1"/>
  <c r="L15" i="1"/>
  <c r="J18" i="1"/>
  <c r="Q15" i="1"/>
  <c r="AB15" i="1"/>
  <c r="Z18" i="1"/>
  <c r="AG15" i="1"/>
  <c r="AR15" i="1"/>
  <c r="AP18" i="1"/>
  <c r="E16" i="1"/>
  <c r="I16" i="1"/>
  <c r="M16" i="1"/>
  <c r="Q16" i="1"/>
  <c r="U16" i="1"/>
  <c r="Y16" i="1"/>
  <c r="AC16" i="1"/>
  <c r="AG16" i="1"/>
  <c r="AK16" i="1"/>
  <c r="AO16" i="1"/>
  <c r="AS16" i="1"/>
  <c r="AU20" i="1"/>
  <c r="C23" i="1"/>
  <c r="AT20" i="1"/>
  <c r="K28" i="1"/>
  <c r="M25" i="1"/>
  <c r="O28" i="1"/>
  <c r="Q25" i="1"/>
  <c r="AA28" i="1"/>
  <c r="AC25" i="1"/>
  <c r="AE28" i="1"/>
  <c r="AG25" i="1"/>
  <c r="AQ28" i="1"/>
  <c r="AS25" i="1"/>
  <c r="M26" i="1"/>
  <c r="Q26" i="1"/>
  <c r="Y26" i="1"/>
  <c r="AC26" i="1"/>
  <c r="AG26" i="1"/>
  <c r="AO26" i="1"/>
  <c r="AS26" i="1"/>
  <c r="I30" i="1"/>
  <c r="H30" i="1"/>
  <c r="L30" i="1"/>
  <c r="K33" i="1"/>
  <c r="M30" i="1"/>
  <c r="S33" i="1"/>
  <c r="U30" i="1"/>
  <c r="W33" i="1"/>
  <c r="Y30" i="1"/>
  <c r="AA33" i="1"/>
  <c r="AC30" i="1"/>
  <c r="AI33" i="1"/>
  <c r="AK30" i="1"/>
  <c r="AM33" i="1"/>
  <c r="AO30" i="1"/>
  <c r="AQ33" i="1"/>
  <c r="AS30" i="1"/>
  <c r="H31" i="1"/>
  <c r="I31" i="1"/>
  <c r="M31" i="1"/>
  <c r="L31" i="1"/>
  <c r="Y31" i="1"/>
  <c r="X31" i="1"/>
  <c r="AC31" i="1"/>
  <c r="AB31" i="1"/>
  <c r="AO31" i="1"/>
  <c r="AN31" i="1"/>
  <c r="AS31" i="1"/>
  <c r="AR31" i="1"/>
  <c r="F33" i="1"/>
  <c r="H32" i="1"/>
  <c r="AT35" i="1"/>
  <c r="B38" i="1"/>
  <c r="E35" i="1"/>
  <c r="K38" i="1"/>
  <c r="M38" i="1" s="1"/>
  <c r="M35" i="1"/>
  <c r="O38" i="1"/>
  <c r="P38" i="1" s="1"/>
  <c r="Q35" i="1"/>
  <c r="T35" i="1"/>
  <c r="R38" i="1"/>
  <c r="U35" i="1"/>
  <c r="AA38" i="1"/>
  <c r="AC38" i="1" s="1"/>
  <c r="AC35" i="1"/>
  <c r="AE38" i="1"/>
  <c r="AG35" i="1"/>
  <c r="AJ35" i="1"/>
  <c r="AH38" i="1"/>
  <c r="AK35" i="1"/>
  <c r="AQ38" i="1"/>
  <c r="AS38" i="1" s="1"/>
  <c r="AS35" i="1"/>
  <c r="E36" i="1"/>
  <c r="I36" i="1"/>
  <c r="M36" i="1"/>
  <c r="Q36" i="1"/>
  <c r="U36" i="1"/>
  <c r="Y36" i="1"/>
  <c r="AC36" i="1"/>
  <c r="AG36" i="1"/>
  <c r="AK36" i="1"/>
  <c r="AO36" i="1"/>
  <c r="AS36" i="1"/>
  <c r="B43" i="1"/>
  <c r="D40" i="1"/>
  <c r="AU40" i="1"/>
  <c r="C43" i="1"/>
  <c r="F43" i="1"/>
  <c r="H40" i="1"/>
  <c r="I40" i="1"/>
  <c r="G43" i="1"/>
  <c r="M40" i="1"/>
  <c r="K43" i="1"/>
  <c r="N43" i="1"/>
  <c r="P40" i="1"/>
  <c r="Q40" i="1"/>
  <c r="O43" i="1"/>
  <c r="R43" i="1"/>
  <c r="T40" i="1"/>
  <c r="U40" i="1"/>
  <c r="S43" i="1"/>
  <c r="U43" i="1" s="1"/>
  <c r="V43" i="1"/>
  <c r="X40" i="1"/>
  <c r="Y40" i="1"/>
  <c r="W43" i="1"/>
  <c r="Z43" i="1"/>
  <c r="AB40" i="1"/>
  <c r="AC40" i="1"/>
  <c r="AA43" i="1"/>
  <c r="AD43" i="1"/>
  <c r="AF40" i="1"/>
  <c r="AG40" i="1"/>
  <c r="AE43" i="1"/>
  <c r="AH43" i="1"/>
  <c r="AJ40" i="1"/>
  <c r="AK40" i="1"/>
  <c r="AI43" i="1"/>
  <c r="AK43" i="1" s="1"/>
  <c r="AL43" i="1"/>
  <c r="AN40" i="1"/>
  <c r="AO40" i="1"/>
  <c r="AM43" i="1"/>
  <c r="AP43" i="1"/>
  <c r="AR40" i="1"/>
  <c r="AS40" i="1"/>
  <c r="AQ43" i="1"/>
  <c r="AT41" i="1"/>
  <c r="AV41" i="1" s="1"/>
  <c r="D41" i="1"/>
  <c r="AW41" i="1"/>
  <c r="I41" i="1"/>
  <c r="M41" i="1"/>
  <c r="Q41" i="1"/>
  <c r="U41" i="1"/>
  <c r="Y41" i="1"/>
  <c r="AC41" i="1"/>
  <c r="AG41" i="1"/>
  <c r="AK41" i="1"/>
  <c r="AO41" i="1"/>
  <c r="AS41" i="1"/>
  <c r="AV44" i="1"/>
  <c r="AW44" i="1"/>
  <c r="AT45" i="1"/>
  <c r="B48" i="1"/>
  <c r="C48" i="1"/>
  <c r="E45" i="1"/>
  <c r="G48" i="1"/>
  <c r="I45" i="1"/>
  <c r="K48" i="1"/>
  <c r="M45" i="1"/>
  <c r="O48" i="1"/>
  <c r="Q45" i="1"/>
  <c r="S48" i="1"/>
  <c r="U48" i="1" s="1"/>
  <c r="U45" i="1"/>
  <c r="W48" i="1"/>
  <c r="Y45" i="1"/>
  <c r="AA48" i="1"/>
  <c r="AC45" i="1"/>
  <c r="AE48" i="1"/>
  <c r="AG45" i="1"/>
  <c r="AI48" i="1"/>
  <c r="AK45" i="1"/>
  <c r="AM48" i="1"/>
  <c r="AO45" i="1"/>
  <c r="AQ48" i="1"/>
  <c r="AS45" i="1"/>
  <c r="D46" i="1"/>
  <c r="E46" i="1"/>
  <c r="H46" i="1"/>
  <c r="I46" i="1"/>
  <c r="L46" i="1"/>
  <c r="M46" i="1"/>
  <c r="P46" i="1"/>
  <c r="Q46" i="1"/>
  <c r="T46" i="1"/>
  <c r="U46" i="1"/>
  <c r="X46" i="1"/>
  <c r="Y46" i="1"/>
  <c r="AB46" i="1"/>
  <c r="AC46" i="1"/>
  <c r="AF46" i="1"/>
  <c r="AG46" i="1"/>
  <c r="AJ46" i="1"/>
  <c r="AK46" i="1"/>
  <c r="AN46" i="1"/>
  <c r="AO46" i="1"/>
  <c r="AR46" i="1"/>
  <c r="AS46" i="1"/>
  <c r="Z48" i="1"/>
  <c r="AB48" i="1" s="1"/>
  <c r="AB47" i="1"/>
  <c r="AP48" i="1"/>
  <c r="AR47" i="1"/>
  <c r="R53" i="1"/>
  <c r="T53" i="1" s="1"/>
  <c r="T50" i="1"/>
  <c r="Y50" i="1"/>
  <c r="AO50" i="1"/>
  <c r="I51" i="1"/>
  <c r="Q51" i="1"/>
  <c r="Y51" i="1"/>
  <c r="AG51" i="1"/>
  <c r="AO51" i="1"/>
  <c r="AT55" i="1"/>
  <c r="B58" i="1"/>
  <c r="D55" i="1"/>
  <c r="AU55" i="1"/>
  <c r="AW55" i="1" s="1"/>
  <c r="C58" i="1"/>
  <c r="E58" i="1" s="1"/>
  <c r="E55" i="1"/>
  <c r="G58" i="1"/>
  <c r="I55" i="1"/>
  <c r="K58" i="1"/>
  <c r="M55" i="1"/>
  <c r="O58" i="1"/>
  <c r="Q55" i="1"/>
  <c r="R58" i="1"/>
  <c r="T55" i="1"/>
  <c r="S58" i="1"/>
  <c r="U58" i="1" s="1"/>
  <c r="U55" i="1"/>
  <c r="W58" i="1"/>
  <c r="Y55" i="1"/>
  <c r="AA58" i="1"/>
  <c r="AC55" i="1"/>
  <c r="AE58" i="1"/>
  <c r="AG55" i="1"/>
  <c r="AH58" i="1"/>
  <c r="AJ55" i="1"/>
  <c r="AI58" i="1"/>
  <c r="AK55" i="1"/>
  <c r="AM58" i="1"/>
  <c r="AO55" i="1"/>
  <c r="AQ58" i="1"/>
  <c r="AS55" i="1"/>
  <c r="AT56" i="1"/>
  <c r="D56" i="1"/>
  <c r="AU56" i="1"/>
  <c r="AW56" i="1" s="1"/>
  <c r="E56" i="1"/>
  <c r="I56" i="1"/>
  <c r="M56" i="1"/>
  <c r="Q56" i="1"/>
  <c r="U56" i="1"/>
  <c r="Y56" i="1"/>
  <c r="AC56" i="1"/>
  <c r="AG56" i="1"/>
  <c r="AK56" i="1"/>
  <c r="AO56" i="1"/>
  <c r="AS56" i="1"/>
  <c r="J58" i="1"/>
  <c r="L58" i="1" s="1"/>
  <c r="N58" i="1"/>
  <c r="P57" i="1"/>
  <c r="Z58" i="1"/>
  <c r="AB58" i="1" s="1"/>
  <c r="AB57" i="1"/>
  <c r="AD58" i="1"/>
  <c r="AF58" i="1" s="1"/>
  <c r="AF57" i="1"/>
  <c r="AT65" i="1"/>
  <c r="B68" i="1"/>
  <c r="E66" i="1"/>
  <c r="AU66" i="1"/>
  <c r="AW66" i="1" s="1"/>
  <c r="I66" i="1"/>
  <c r="M66" i="1"/>
  <c r="Q66" i="1"/>
  <c r="U66" i="1"/>
  <c r="Y66" i="1"/>
  <c r="AC66" i="1"/>
  <c r="AG66" i="1"/>
  <c r="AK66" i="1"/>
  <c r="AO66" i="1"/>
  <c r="AS66" i="1"/>
  <c r="AT67" i="1"/>
  <c r="AV67" i="1" s="1"/>
  <c r="D67" i="1"/>
  <c r="C73" i="1"/>
  <c r="E70" i="1"/>
  <c r="D70" i="1"/>
  <c r="G73" i="1"/>
  <c r="I73" i="1" s="1"/>
  <c r="I70" i="1"/>
  <c r="H70" i="1"/>
  <c r="AU70" i="1"/>
  <c r="O73" i="1"/>
  <c r="P70" i="1"/>
  <c r="S73" i="1"/>
  <c r="U70" i="1"/>
  <c r="T70" i="1"/>
  <c r="W73" i="1"/>
  <c r="Y70" i="1"/>
  <c r="X70" i="1"/>
  <c r="AG70" i="1"/>
  <c r="AE73" i="1"/>
  <c r="AF70" i="1"/>
  <c r="AI73" i="1"/>
  <c r="AK73" i="1" s="1"/>
  <c r="AK70" i="1"/>
  <c r="AJ70" i="1"/>
  <c r="AM73" i="1"/>
  <c r="AO70" i="1"/>
  <c r="AP73" i="1"/>
  <c r="AR70" i="1"/>
  <c r="AQ73" i="1"/>
  <c r="AS70" i="1"/>
  <c r="E71" i="1"/>
  <c r="D71" i="1"/>
  <c r="H71" i="1"/>
  <c r="I71" i="1"/>
  <c r="Q71" i="1"/>
  <c r="P71" i="1"/>
  <c r="U71" i="1"/>
  <c r="T71" i="1"/>
  <c r="AC71" i="1"/>
  <c r="AB71" i="1"/>
  <c r="AK71" i="1"/>
  <c r="AJ71" i="1"/>
  <c r="AT71" i="1"/>
  <c r="AN71" i="1"/>
  <c r="AS71" i="1"/>
  <c r="AR71" i="1"/>
  <c r="H73" i="1"/>
  <c r="AJ73" i="1"/>
  <c r="K78" i="1"/>
  <c r="M75" i="1"/>
  <c r="O78" i="1"/>
  <c r="Q75" i="1"/>
  <c r="AA78" i="1"/>
  <c r="AC75" i="1"/>
  <c r="AE78" i="1"/>
  <c r="AG75" i="1"/>
  <c r="AQ78" i="1"/>
  <c r="AS75" i="1"/>
  <c r="I76" i="1"/>
  <c r="M76" i="1"/>
  <c r="Y76" i="1"/>
  <c r="AC76" i="1"/>
  <c r="AO76" i="1"/>
  <c r="AS76" i="1"/>
  <c r="B83" i="1"/>
  <c r="AT80" i="1"/>
  <c r="M80" i="1"/>
  <c r="Y80" i="1"/>
  <c r="X80" i="1"/>
  <c r="AB80" i="1"/>
  <c r="AA83" i="1"/>
  <c r="AC83" i="1" s="1"/>
  <c r="AC80" i="1"/>
  <c r="AO80" i="1"/>
  <c r="AN80" i="1"/>
  <c r="AR80" i="1"/>
  <c r="AQ83" i="1"/>
  <c r="AS83" i="1" s="1"/>
  <c r="AS80" i="1"/>
  <c r="AU81" i="1"/>
  <c r="E81" i="1"/>
  <c r="I81" i="1"/>
  <c r="AC81" i="1"/>
  <c r="AB81" i="1"/>
  <c r="AF81" i="1"/>
  <c r="AG81" i="1"/>
  <c r="AS81" i="1"/>
  <c r="AR81" i="1"/>
  <c r="AB83" i="1"/>
  <c r="AR83" i="1"/>
  <c r="D85" i="1"/>
  <c r="E85" i="1"/>
  <c r="O88" i="1"/>
  <c r="Q88" i="1" s="1"/>
  <c r="Q85" i="1"/>
  <c r="P85" i="1"/>
  <c r="T85" i="1"/>
  <c r="U85" i="1"/>
  <c r="AE88" i="1"/>
  <c r="AG88" i="1" s="1"/>
  <c r="AG85" i="1"/>
  <c r="AF85" i="1"/>
  <c r="AJ85" i="1"/>
  <c r="AK85" i="1"/>
  <c r="I86" i="1"/>
  <c r="H86" i="1"/>
  <c r="L86" i="1"/>
  <c r="M86" i="1"/>
  <c r="Y86" i="1"/>
  <c r="X86" i="1"/>
  <c r="AB86" i="1"/>
  <c r="AC86" i="1"/>
  <c r="AO86" i="1"/>
  <c r="AN86" i="1"/>
  <c r="AT86" i="1"/>
  <c r="AR86" i="1"/>
  <c r="AS86" i="1"/>
  <c r="AR87" i="1"/>
  <c r="AT87" i="1"/>
  <c r="AV87" i="1" s="1"/>
  <c r="AT90" i="1"/>
  <c r="B93" i="1"/>
  <c r="AK93" i="1"/>
  <c r="AO93" i="1"/>
  <c r="AS93" i="1"/>
  <c r="D91" i="1"/>
  <c r="H91" i="1"/>
  <c r="L91" i="1"/>
  <c r="P91" i="1"/>
  <c r="T91" i="1"/>
  <c r="X91" i="1"/>
  <c r="AB91" i="1"/>
  <c r="AF91" i="1"/>
  <c r="AJ91" i="1"/>
  <c r="AN91" i="1"/>
  <c r="AR91" i="1"/>
  <c r="B98" i="1"/>
  <c r="D95" i="1"/>
  <c r="C98" i="1"/>
  <c r="E95" i="1"/>
  <c r="F98" i="1"/>
  <c r="H95" i="1"/>
  <c r="G98" i="1"/>
  <c r="I98" i="1" s="1"/>
  <c r="I95" i="1"/>
  <c r="J98" i="1"/>
  <c r="L95" i="1"/>
  <c r="K98" i="1"/>
  <c r="M98" i="1" s="1"/>
  <c r="M95" i="1"/>
  <c r="N98" i="1"/>
  <c r="P95" i="1"/>
  <c r="O98" i="1"/>
  <c r="Q95" i="1"/>
  <c r="R98" i="1"/>
  <c r="T95" i="1"/>
  <c r="S98" i="1"/>
  <c r="U98" i="1" s="1"/>
  <c r="U95" i="1"/>
  <c r="V98" i="1"/>
  <c r="X95" i="1"/>
  <c r="W98" i="1"/>
  <c r="Y98" i="1" s="1"/>
  <c r="Y95" i="1"/>
  <c r="Z98" i="1"/>
  <c r="AB95" i="1"/>
  <c r="AA98" i="1"/>
  <c r="AC98" i="1" s="1"/>
  <c r="AC95" i="1"/>
  <c r="AD98" i="1"/>
  <c r="AF95" i="1"/>
  <c r="AE98" i="1"/>
  <c r="AG95" i="1"/>
  <c r="AH98" i="1"/>
  <c r="AJ95" i="1"/>
  <c r="AI98" i="1"/>
  <c r="AK98" i="1" s="1"/>
  <c r="AK95" i="1"/>
  <c r="AM98" i="1"/>
  <c r="AO95" i="1"/>
  <c r="AP98" i="1"/>
  <c r="AR95" i="1"/>
  <c r="AS95" i="1"/>
  <c r="AT96" i="1"/>
  <c r="D96" i="1"/>
  <c r="AU96" i="1"/>
  <c r="AW96" i="1" s="1"/>
  <c r="E96" i="1"/>
  <c r="I96" i="1"/>
  <c r="M96" i="1"/>
  <c r="Q96" i="1"/>
  <c r="U96" i="1"/>
  <c r="Y96" i="1"/>
  <c r="AC96" i="1"/>
  <c r="AL98" i="1"/>
  <c r="AS96" i="1"/>
  <c r="E100" i="1"/>
  <c r="I100" i="1"/>
  <c r="G103" i="1"/>
  <c r="M100" i="1"/>
  <c r="Q100" i="1"/>
  <c r="O103" i="1"/>
  <c r="P103" i="1" s="1"/>
  <c r="U100" i="1"/>
  <c r="T100" i="1"/>
  <c r="X100" i="1"/>
  <c r="W103" i="1"/>
  <c r="Y103" i="1" s="1"/>
  <c r="Y100" i="1"/>
  <c r="AG100" i="1"/>
  <c r="AE103" i="1"/>
  <c r="AG103" i="1" s="1"/>
  <c r="AK100" i="1"/>
  <c r="AJ100" i="1"/>
  <c r="AN100" i="1"/>
  <c r="AM103" i="1"/>
  <c r="AO103" i="1" s="1"/>
  <c r="AO100" i="1"/>
  <c r="M101" i="1"/>
  <c r="U101" i="1"/>
  <c r="T101" i="1"/>
  <c r="Y101" i="1"/>
  <c r="X101" i="1"/>
  <c r="AB101" i="1"/>
  <c r="AC101" i="1"/>
  <c r="AK101" i="1"/>
  <c r="AJ101" i="1"/>
  <c r="AO101" i="1"/>
  <c r="AN101" i="1"/>
  <c r="AR101" i="1"/>
  <c r="AS101" i="1"/>
  <c r="AN103" i="1"/>
  <c r="AU105" i="1"/>
  <c r="E105" i="1"/>
  <c r="Q105" i="1"/>
  <c r="P105" i="1"/>
  <c r="AG105" i="1"/>
  <c r="AF105" i="1"/>
  <c r="AT106" i="1"/>
  <c r="D106" i="1"/>
  <c r="I106" i="1"/>
  <c r="H106" i="1"/>
  <c r="L106" i="1"/>
  <c r="M106" i="1"/>
  <c r="U106" i="1"/>
  <c r="T106" i="1"/>
  <c r="Y106" i="1"/>
  <c r="X106" i="1"/>
  <c r="AB106" i="1"/>
  <c r="AC106" i="1"/>
  <c r="AK106" i="1"/>
  <c r="AJ106" i="1"/>
  <c r="AO106" i="1"/>
  <c r="AN106" i="1"/>
  <c r="AR106" i="1"/>
  <c r="AS106" i="1"/>
  <c r="G113" i="1"/>
  <c r="I110" i="1"/>
  <c r="H110" i="1"/>
  <c r="S113" i="1"/>
  <c r="U110" i="1"/>
  <c r="T110" i="1"/>
  <c r="W113" i="1"/>
  <c r="Y113" i="1" s="1"/>
  <c r="Y110" i="1"/>
  <c r="X110" i="1"/>
  <c r="I111" i="1"/>
  <c r="H111" i="1"/>
  <c r="L111" i="1"/>
  <c r="M111" i="1"/>
  <c r="U111" i="1"/>
  <c r="T111" i="1"/>
  <c r="Y111" i="1"/>
  <c r="X111" i="1"/>
  <c r="AB111" i="1"/>
  <c r="AC111" i="1"/>
  <c r="AT112" i="1"/>
  <c r="AV112" i="1" s="1"/>
  <c r="AJ112" i="1"/>
  <c r="H113" i="1"/>
  <c r="X113" i="1"/>
  <c r="E115" i="1"/>
  <c r="D115" i="1"/>
  <c r="F118" i="1"/>
  <c r="H115" i="1"/>
  <c r="G118" i="1"/>
  <c r="I115" i="1"/>
  <c r="J118" i="1"/>
  <c r="L115" i="1"/>
  <c r="K118" i="1"/>
  <c r="M115" i="1"/>
  <c r="O118" i="1"/>
  <c r="Q115" i="1"/>
  <c r="R118" i="1"/>
  <c r="T115" i="1"/>
  <c r="AA118" i="1"/>
  <c r="AC115" i="1"/>
  <c r="AB115" i="1"/>
  <c r="AF115" i="1"/>
  <c r="AG115" i="1"/>
  <c r="AQ118" i="1"/>
  <c r="AR118" i="1" s="1"/>
  <c r="AS115" i="1"/>
  <c r="I116" i="1"/>
  <c r="Y116" i="1"/>
  <c r="X116" i="1"/>
  <c r="AC116" i="1"/>
  <c r="AB116" i="1"/>
  <c r="AI118" i="1"/>
  <c r="AK116" i="1"/>
  <c r="AO116" i="1"/>
  <c r="V118" i="1"/>
  <c r="X117" i="1"/>
  <c r="AB118" i="1"/>
  <c r="AW20" i="1"/>
  <c r="AV20" i="1"/>
  <c r="Y9" i="1"/>
  <c r="X9" i="1"/>
  <c r="V23" i="1"/>
  <c r="Y20" i="1"/>
  <c r="X20" i="1"/>
  <c r="AM28" i="1"/>
  <c r="AO28" i="1" s="1"/>
  <c r="AO25" i="1"/>
  <c r="AJ26" i="1"/>
  <c r="AK26" i="1"/>
  <c r="F48" i="1"/>
  <c r="H48" i="1" s="1"/>
  <c r="AT47" i="1"/>
  <c r="AV47" i="1" s="1"/>
  <c r="H47" i="1"/>
  <c r="B53" i="1"/>
  <c r="AT50" i="1"/>
  <c r="E50" i="1"/>
  <c r="D50" i="1"/>
  <c r="L50" i="1"/>
  <c r="J53" i="1"/>
  <c r="L53" i="1" s="1"/>
  <c r="AU12" i="1"/>
  <c r="M15" i="1"/>
  <c r="K18" i="1"/>
  <c r="AI18" i="1"/>
  <c r="AK15" i="1"/>
  <c r="D25" i="1"/>
  <c r="B28" i="1"/>
  <c r="E25" i="1"/>
  <c r="AT25" i="1"/>
  <c r="AJ25" i="1"/>
  <c r="AH28" i="1"/>
  <c r="AJ28" i="1" s="1"/>
  <c r="AK25" i="1"/>
  <c r="D30" i="1"/>
  <c r="C33" i="1"/>
  <c r="AU30" i="1"/>
  <c r="AW30" i="1" s="1"/>
  <c r="E30" i="1"/>
  <c r="Q31" i="1"/>
  <c r="P31" i="1"/>
  <c r="AT31" i="1"/>
  <c r="G38" i="1"/>
  <c r="I38" i="1" s="1"/>
  <c r="I35" i="1"/>
  <c r="AU36" i="1"/>
  <c r="AW36" i="1" s="1"/>
  <c r="M48" i="1"/>
  <c r="L48" i="1"/>
  <c r="AC48" i="1"/>
  <c r="Q9" i="1"/>
  <c r="P9" i="1"/>
  <c r="AO9" i="1"/>
  <c r="AN9" i="1"/>
  <c r="F23" i="1"/>
  <c r="I20" i="1"/>
  <c r="H20" i="1"/>
  <c r="N23" i="1"/>
  <c r="P23" i="1" s="1"/>
  <c r="Q20" i="1"/>
  <c r="P20" i="1"/>
  <c r="AL23" i="1"/>
  <c r="AO20" i="1"/>
  <c r="AN20" i="1"/>
  <c r="AL48" i="1"/>
  <c r="AN48" i="1" s="1"/>
  <c r="AN47" i="1"/>
  <c r="AG50" i="1"/>
  <c r="AE53" i="1"/>
  <c r="AG53" i="1" s="1"/>
  <c r="AU50" i="1"/>
  <c r="AW50" i="1" s="1"/>
  <c r="I8" i="1"/>
  <c r="H8" i="1"/>
  <c r="F11" i="1"/>
  <c r="Q8" i="1"/>
  <c r="P8" i="1"/>
  <c r="N11" i="1"/>
  <c r="Y8" i="1"/>
  <c r="X8" i="1"/>
  <c r="V11" i="1"/>
  <c r="AG8" i="1"/>
  <c r="AF8" i="1"/>
  <c r="AD11" i="1"/>
  <c r="AO8" i="1"/>
  <c r="AN8" i="1"/>
  <c r="AL11" i="1"/>
  <c r="AT10" i="1"/>
  <c r="AV10" i="1" s="1"/>
  <c r="D10" i="1"/>
  <c r="C18" i="1"/>
  <c r="E15" i="1"/>
  <c r="S18" i="1"/>
  <c r="U15" i="1"/>
  <c r="AC15" i="1"/>
  <c r="AA18" i="1"/>
  <c r="AB18" i="1" s="1"/>
  <c r="AS15" i="1"/>
  <c r="AQ18" i="1"/>
  <c r="AR18" i="1" s="1"/>
  <c r="AU16" i="1"/>
  <c r="AW16" i="1" s="1"/>
  <c r="AE18" i="1"/>
  <c r="E9" i="1"/>
  <c r="D9" i="1"/>
  <c r="M9" i="1"/>
  <c r="L9" i="1"/>
  <c r="U9" i="1"/>
  <c r="T9" i="1"/>
  <c r="AC9" i="1"/>
  <c r="AB9" i="1"/>
  <c r="AK9" i="1"/>
  <c r="AJ9" i="1"/>
  <c r="AS9" i="1"/>
  <c r="AR9" i="1"/>
  <c r="AV14" i="1"/>
  <c r="N18" i="1"/>
  <c r="AU15" i="1"/>
  <c r="AT17" i="1"/>
  <c r="AV17" i="1" s="1"/>
  <c r="O18" i="1"/>
  <c r="AJ18" i="1"/>
  <c r="B23" i="1"/>
  <c r="E20" i="1"/>
  <c r="D20" i="1"/>
  <c r="J23" i="1"/>
  <c r="M20" i="1"/>
  <c r="L20" i="1"/>
  <c r="R23" i="1"/>
  <c r="T23" i="1" s="1"/>
  <c r="U20" i="1"/>
  <c r="T20" i="1"/>
  <c r="Z23" i="1"/>
  <c r="AC20" i="1"/>
  <c r="AB20" i="1"/>
  <c r="AH23" i="1"/>
  <c r="AJ23" i="1" s="1"/>
  <c r="AK20" i="1"/>
  <c r="AJ20" i="1"/>
  <c r="AP23" i="1"/>
  <c r="AS20" i="1"/>
  <c r="AR20" i="1"/>
  <c r="AW21" i="1"/>
  <c r="E23" i="1"/>
  <c r="AK23" i="1"/>
  <c r="W28" i="1"/>
  <c r="Y25" i="1"/>
  <c r="T26" i="1"/>
  <c r="U26" i="1"/>
  <c r="E43" i="1"/>
  <c r="AU43" i="1"/>
  <c r="AR48" i="1"/>
  <c r="AP58" i="1"/>
  <c r="AR58" i="1" s="1"/>
  <c r="AR57" i="1"/>
  <c r="AW8" i="1"/>
  <c r="I9" i="1"/>
  <c r="H9" i="1"/>
  <c r="AG9" i="1"/>
  <c r="AF9" i="1"/>
  <c r="AD23" i="1"/>
  <c r="AF23" i="1" s="1"/>
  <c r="AG20" i="1"/>
  <c r="AF20" i="1"/>
  <c r="G28" i="1"/>
  <c r="I28" i="1" s="1"/>
  <c r="AU25" i="1"/>
  <c r="AW25" i="1" s="1"/>
  <c r="I25" i="1"/>
  <c r="D26" i="1"/>
  <c r="E26" i="1"/>
  <c r="AT26" i="1"/>
  <c r="O33" i="1"/>
  <c r="Q30" i="1"/>
  <c r="W38" i="1"/>
  <c r="Y38" i="1" s="1"/>
  <c r="Y35" i="1"/>
  <c r="AD38" i="1"/>
  <c r="E8" i="1"/>
  <c r="D8" i="1"/>
  <c r="B11" i="1"/>
  <c r="M8" i="1"/>
  <c r="L8" i="1"/>
  <c r="J11" i="1"/>
  <c r="U8" i="1"/>
  <c r="T8" i="1"/>
  <c r="R11" i="1"/>
  <c r="AC8" i="1"/>
  <c r="AB8" i="1"/>
  <c r="Z11" i="1"/>
  <c r="AK8" i="1"/>
  <c r="AJ8" i="1"/>
  <c r="AH11" i="1"/>
  <c r="AS8" i="1"/>
  <c r="AR8" i="1"/>
  <c r="AP11" i="1"/>
  <c r="AW9" i="1"/>
  <c r="G18" i="1"/>
  <c r="H18" i="1" s="1"/>
  <c r="I15" i="1"/>
  <c r="W18" i="1"/>
  <c r="X18" i="1" s="1"/>
  <c r="Y15" i="1"/>
  <c r="AM18" i="1"/>
  <c r="AO15" i="1"/>
  <c r="L16" i="1"/>
  <c r="T16" i="1"/>
  <c r="AB16" i="1"/>
  <c r="AJ16" i="1"/>
  <c r="AR16" i="1"/>
  <c r="T18" i="1"/>
  <c r="Q23" i="1"/>
  <c r="AU23" i="1"/>
  <c r="T25" i="1"/>
  <c r="R28" i="1"/>
  <c r="T28" i="1" s="1"/>
  <c r="U25" i="1"/>
  <c r="AU26" i="1"/>
  <c r="I26" i="1"/>
  <c r="AT27" i="1"/>
  <c r="AV27" i="1" s="1"/>
  <c r="D27" i="1"/>
  <c r="AE33" i="1"/>
  <c r="AG30" i="1"/>
  <c r="AG31" i="1"/>
  <c r="AF31" i="1"/>
  <c r="AM38" i="1"/>
  <c r="AO35" i="1"/>
  <c r="L52" i="1"/>
  <c r="AT52" i="1"/>
  <c r="AV52" i="1" s="1"/>
  <c r="AG73" i="1"/>
  <c r="AF73" i="1"/>
  <c r="E98" i="1"/>
  <c r="AN98" i="1"/>
  <c r="D15" i="1"/>
  <c r="H15" i="1"/>
  <c r="P15" i="1"/>
  <c r="T15" i="1"/>
  <c r="X15" i="1"/>
  <c r="AF15" i="1"/>
  <c r="AJ15" i="1"/>
  <c r="AN15" i="1"/>
  <c r="D16" i="1"/>
  <c r="D21" i="1"/>
  <c r="H21" i="1"/>
  <c r="L21" i="1"/>
  <c r="P21" i="1"/>
  <c r="T21" i="1"/>
  <c r="X21" i="1"/>
  <c r="AB21" i="1"/>
  <c r="AF21" i="1"/>
  <c r="AJ21" i="1"/>
  <c r="AN21" i="1"/>
  <c r="AR21" i="1"/>
  <c r="AV24" i="1"/>
  <c r="E28" i="1"/>
  <c r="P25" i="1"/>
  <c r="AF25" i="1"/>
  <c r="AK28" i="1"/>
  <c r="P26" i="1"/>
  <c r="AF26" i="1"/>
  <c r="N28" i="1"/>
  <c r="P28" i="1" s="1"/>
  <c r="AD28" i="1"/>
  <c r="AF28" i="1" s="1"/>
  <c r="V33" i="1"/>
  <c r="AL33" i="1"/>
  <c r="AU31" i="1"/>
  <c r="AW31" i="1" s="1"/>
  <c r="T31" i="1"/>
  <c r="AJ31" i="1"/>
  <c r="G33" i="1"/>
  <c r="I33" i="1" s="1"/>
  <c r="AV34" i="1"/>
  <c r="C38" i="1"/>
  <c r="P35" i="1"/>
  <c r="S38" i="1"/>
  <c r="AF35" i="1"/>
  <c r="AI38" i="1"/>
  <c r="AU35" i="1"/>
  <c r="L36" i="1"/>
  <c r="AB36" i="1"/>
  <c r="AR36" i="1"/>
  <c r="J43" i="1"/>
  <c r="L43" i="1" s="1"/>
  <c r="I43" i="1"/>
  <c r="Y43" i="1"/>
  <c r="AO43" i="1"/>
  <c r="I48" i="1"/>
  <c r="AO48" i="1"/>
  <c r="AB50" i="1"/>
  <c r="Z53" i="1"/>
  <c r="AH53" i="1"/>
  <c r="AJ53" i="1" s="1"/>
  <c r="AT51" i="1"/>
  <c r="AF51" i="1"/>
  <c r="E53" i="1"/>
  <c r="U53" i="1"/>
  <c r="AF53" i="1"/>
  <c r="AV56" i="1"/>
  <c r="F58" i="1"/>
  <c r="H58" i="1" s="1"/>
  <c r="AT57" i="1"/>
  <c r="AV57" i="1" s="1"/>
  <c r="H57" i="1"/>
  <c r="P58" i="1"/>
  <c r="AK58" i="1"/>
  <c r="AJ58" i="1"/>
  <c r="E65" i="1"/>
  <c r="C68" i="1"/>
  <c r="D68" i="1" s="1"/>
  <c r="AU65" i="1"/>
  <c r="AW65" i="1" s="1"/>
  <c r="M65" i="1"/>
  <c r="K68" i="1"/>
  <c r="M68" i="1" s="1"/>
  <c r="U65" i="1"/>
  <c r="S68" i="1"/>
  <c r="U68" i="1" s="1"/>
  <c r="AC65" i="1"/>
  <c r="AA68" i="1"/>
  <c r="AC68" i="1" s="1"/>
  <c r="AK65" i="1"/>
  <c r="AI68" i="1"/>
  <c r="AK68" i="1" s="1"/>
  <c r="AS65" i="1"/>
  <c r="AQ68" i="1"/>
  <c r="AS68" i="1" s="1"/>
  <c r="H82" i="1"/>
  <c r="AT82" i="1"/>
  <c r="AV82" i="1" s="1"/>
  <c r="D86" i="1"/>
  <c r="AU86" i="1"/>
  <c r="AW86" i="1" s="1"/>
  <c r="E86" i="1"/>
  <c r="AU11" i="1"/>
  <c r="B18" i="1"/>
  <c r="E21" i="1"/>
  <c r="AT22" i="1"/>
  <c r="AV22" i="1" s="1"/>
  <c r="D22" i="1"/>
  <c r="L25" i="1"/>
  <c r="AB25" i="1"/>
  <c r="AG28" i="1"/>
  <c r="AR25" i="1"/>
  <c r="L26" i="1"/>
  <c r="AB26" i="1"/>
  <c r="AR26" i="1"/>
  <c r="R33" i="1"/>
  <c r="T33" i="1" s="1"/>
  <c r="AH33" i="1"/>
  <c r="AJ33" i="1" s="1"/>
  <c r="B33" i="1"/>
  <c r="AT32" i="1"/>
  <c r="AV32" i="1" s="1"/>
  <c r="D32" i="1"/>
  <c r="L35" i="1"/>
  <c r="Q38" i="1"/>
  <c r="AB35" i="1"/>
  <c r="AG38" i="1"/>
  <c r="AR35" i="1"/>
  <c r="H36" i="1"/>
  <c r="X36" i="1"/>
  <c r="AN36" i="1"/>
  <c r="AT37" i="1"/>
  <c r="AV37" i="1" s="1"/>
  <c r="M43" i="1"/>
  <c r="AC43" i="1"/>
  <c r="AS43" i="1"/>
  <c r="AU48" i="1"/>
  <c r="E48" i="1"/>
  <c r="V48" i="1"/>
  <c r="X47" i="1"/>
  <c r="T48" i="1"/>
  <c r="I50" i="1"/>
  <c r="F53" i="1"/>
  <c r="H50" i="1"/>
  <c r="P50" i="1"/>
  <c r="AR50" i="1"/>
  <c r="AP53" i="1"/>
  <c r="AR53" i="1" s="1"/>
  <c r="AU51" i="1"/>
  <c r="I58" i="1"/>
  <c r="I80" i="1"/>
  <c r="G83" i="1"/>
  <c r="Q80" i="1"/>
  <c r="O83" i="1"/>
  <c r="Q83" i="1" s="1"/>
  <c r="AE83" i="1"/>
  <c r="AG83" i="1" s="1"/>
  <c r="AG80" i="1"/>
  <c r="AF80" i="1"/>
  <c r="H25" i="1"/>
  <c r="X25" i="1"/>
  <c r="AN25" i="1"/>
  <c r="H26" i="1"/>
  <c r="X26" i="1"/>
  <c r="AN26" i="1"/>
  <c r="AV30" i="1"/>
  <c r="AD33" i="1"/>
  <c r="AF33" i="1" s="1"/>
  <c r="L32" i="1"/>
  <c r="J33" i="1"/>
  <c r="H35" i="1"/>
  <c r="X35" i="1"/>
  <c r="AN35" i="1"/>
  <c r="AV36" i="1"/>
  <c r="T36" i="1"/>
  <c r="AJ36" i="1"/>
  <c r="L38" i="1"/>
  <c r="AB38" i="1"/>
  <c r="AR38" i="1"/>
  <c r="AT43" i="1"/>
  <c r="AV43" i="1" s="1"/>
  <c r="D43" i="1"/>
  <c r="T43" i="1"/>
  <c r="AJ43" i="1"/>
  <c r="AT42" i="1"/>
  <c r="AV42" i="1" s="1"/>
  <c r="Q43" i="1"/>
  <c r="AG43" i="1"/>
  <c r="Q50" i="1"/>
  <c r="O53" i="1"/>
  <c r="Q53" i="1" s="1"/>
  <c r="AF50" i="1"/>
  <c r="M53" i="1"/>
  <c r="AS58" i="1"/>
  <c r="E61" i="1"/>
  <c r="D61" i="1"/>
  <c r="AT61" i="1"/>
  <c r="AV61" i="1" s="1"/>
  <c r="M61" i="1"/>
  <c r="L61" i="1"/>
  <c r="U61" i="1"/>
  <c r="T61" i="1"/>
  <c r="AC61" i="1"/>
  <c r="AB61" i="1"/>
  <c r="AK61" i="1"/>
  <c r="AJ61" i="1"/>
  <c r="AS61" i="1"/>
  <c r="AR61" i="1"/>
  <c r="AF76" i="1"/>
  <c r="AG76" i="1"/>
  <c r="P30" i="1"/>
  <c r="T30" i="1"/>
  <c r="X30" i="1"/>
  <c r="AB30" i="1"/>
  <c r="AF30" i="1"/>
  <c r="AJ30" i="1"/>
  <c r="AN30" i="1"/>
  <c r="AR30" i="1"/>
  <c r="E31" i="1"/>
  <c r="N33" i="1"/>
  <c r="P33" i="1" s="1"/>
  <c r="D35" i="1"/>
  <c r="D36" i="1"/>
  <c r="E40" i="1"/>
  <c r="E41" i="1"/>
  <c r="M50" i="1"/>
  <c r="AC50" i="1"/>
  <c r="AS50" i="1"/>
  <c r="M51" i="1"/>
  <c r="AC51" i="1"/>
  <c r="AS51" i="1"/>
  <c r="AG58" i="1"/>
  <c r="E60" i="1"/>
  <c r="D60" i="1"/>
  <c r="B63" i="1"/>
  <c r="M60" i="1"/>
  <c r="L60" i="1"/>
  <c r="J63" i="1"/>
  <c r="L63" i="1" s="1"/>
  <c r="U60" i="1"/>
  <c r="T60" i="1"/>
  <c r="R63" i="1"/>
  <c r="AC60" i="1"/>
  <c r="AB60" i="1"/>
  <c r="Z63" i="1"/>
  <c r="AB63" i="1" s="1"/>
  <c r="AK60" i="1"/>
  <c r="AJ60" i="1"/>
  <c r="AH63" i="1"/>
  <c r="AS60" i="1"/>
  <c r="AR60" i="1"/>
  <c r="AP63" i="1"/>
  <c r="AR63" i="1" s="1"/>
  <c r="AW61" i="1"/>
  <c r="AV64" i="1"/>
  <c r="H65" i="1"/>
  <c r="P65" i="1"/>
  <c r="X65" i="1"/>
  <c r="AF65" i="1"/>
  <c r="AN65" i="1"/>
  <c r="L68" i="1"/>
  <c r="AB68" i="1"/>
  <c r="AR68" i="1"/>
  <c r="AL73" i="1"/>
  <c r="AN73" i="1" s="1"/>
  <c r="AG71" i="1"/>
  <c r="AF71" i="1"/>
  <c r="U73" i="1"/>
  <c r="T73" i="1"/>
  <c r="T75" i="1"/>
  <c r="R78" i="1"/>
  <c r="T78" i="1" s="1"/>
  <c r="U75" i="1"/>
  <c r="AT40" i="1"/>
  <c r="AV40" i="1" s="1"/>
  <c r="AU45" i="1"/>
  <c r="AW45" i="1" s="1"/>
  <c r="AU46" i="1"/>
  <c r="N48" i="1"/>
  <c r="P48" i="1" s="1"/>
  <c r="AD48" i="1"/>
  <c r="AL58" i="1"/>
  <c r="AN58" i="1" s="1"/>
  <c r="AN57" i="1"/>
  <c r="M58" i="1"/>
  <c r="AU58" i="1"/>
  <c r="AU63" i="1"/>
  <c r="I61" i="1"/>
  <c r="H61" i="1"/>
  <c r="Q61" i="1"/>
  <c r="P61" i="1"/>
  <c r="Y61" i="1"/>
  <c r="X61" i="1"/>
  <c r="AG61" i="1"/>
  <c r="AF61" i="1"/>
  <c r="AO61" i="1"/>
  <c r="AN61" i="1"/>
  <c r="I65" i="1"/>
  <c r="G68" i="1"/>
  <c r="I68" i="1" s="1"/>
  <c r="Q65" i="1"/>
  <c r="O68" i="1"/>
  <c r="Y65" i="1"/>
  <c r="W68" i="1"/>
  <c r="Y68" i="1" s="1"/>
  <c r="AG65" i="1"/>
  <c r="AE68" i="1"/>
  <c r="AG68" i="1" s="1"/>
  <c r="AO65" i="1"/>
  <c r="AM68" i="1"/>
  <c r="AO68" i="1" s="1"/>
  <c r="AV66" i="1"/>
  <c r="L66" i="1"/>
  <c r="T66" i="1"/>
  <c r="AB66" i="1"/>
  <c r="AJ66" i="1"/>
  <c r="AR66" i="1"/>
  <c r="N68" i="1"/>
  <c r="P68" i="1" s="1"/>
  <c r="AF68" i="1"/>
  <c r="K73" i="1"/>
  <c r="M70" i="1"/>
  <c r="L70" i="1"/>
  <c r="X71" i="1"/>
  <c r="Y71" i="1"/>
  <c r="E73" i="1"/>
  <c r="D73" i="1"/>
  <c r="U78" i="1"/>
  <c r="P76" i="1"/>
  <c r="Q76" i="1"/>
  <c r="AT76" i="1"/>
  <c r="AV76" i="1" s="1"/>
  <c r="E83" i="1"/>
  <c r="AV86" i="1"/>
  <c r="D42" i="1"/>
  <c r="D45" i="1"/>
  <c r="H45" i="1"/>
  <c r="L45" i="1"/>
  <c r="P45" i="1"/>
  <c r="T45" i="1"/>
  <c r="X45" i="1"/>
  <c r="AB45" i="1"/>
  <c r="AF45" i="1"/>
  <c r="AJ45" i="1"/>
  <c r="AN45" i="1"/>
  <c r="AR45" i="1"/>
  <c r="U50" i="1"/>
  <c r="X50" i="1"/>
  <c r="AK50" i="1"/>
  <c r="AN50" i="1"/>
  <c r="E51" i="1"/>
  <c r="H51" i="1"/>
  <c r="U51" i="1"/>
  <c r="X51" i="1"/>
  <c r="AK51" i="1"/>
  <c r="AN51" i="1"/>
  <c r="G53" i="1"/>
  <c r="W53" i="1"/>
  <c r="Y53" i="1" s="1"/>
  <c r="AM53" i="1"/>
  <c r="AO53" i="1" s="1"/>
  <c r="L57" i="1"/>
  <c r="V58" i="1"/>
  <c r="X58" i="1" s="1"/>
  <c r="X57" i="1"/>
  <c r="D58" i="1"/>
  <c r="I60" i="1"/>
  <c r="H60" i="1"/>
  <c r="F63" i="1"/>
  <c r="Q60" i="1"/>
  <c r="P60" i="1"/>
  <c r="N63" i="1"/>
  <c r="Y60" i="1"/>
  <c r="X60" i="1"/>
  <c r="V63" i="1"/>
  <c r="X63" i="1" s="1"/>
  <c r="AG60" i="1"/>
  <c r="AF60" i="1"/>
  <c r="AD63" i="1"/>
  <c r="AF63" i="1" s="1"/>
  <c r="AO60" i="1"/>
  <c r="AN60" i="1"/>
  <c r="AL63" i="1"/>
  <c r="AN63" i="1" s="1"/>
  <c r="AT60" i="1"/>
  <c r="AT62" i="1"/>
  <c r="AV62" i="1" s="1"/>
  <c r="D62" i="1"/>
  <c r="E63" i="1"/>
  <c r="AV65" i="1"/>
  <c r="L65" i="1"/>
  <c r="T65" i="1"/>
  <c r="AB65" i="1"/>
  <c r="AJ65" i="1"/>
  <c r="AR65" i="1"/>
  <c r="T68" i="1"/>
  <c r="AJ68" i="1"/>
  <c r="Q73" i="1"/>
  <c r="P73" i="1"/>
  <c r="AC70" i="1"/>
  <c r="AA73" i="1"/>
  <c r="AB70" i="1"/>
  <c r="M71" i="1"/>
  <c r="L71" i="1"/>
  <c r="D75" i="1"/>
  <c r="B78" i="1"/>
  <c r="E75" i="1"/>
  <c r="AT75" i="1"/>
  <c r="AJ75" i="1"/>
  <c r="AH78" i="1"/>
  <c r="AK75" i="1"/>
  <c r="AW76" i="1"/>
  <c r="F83" i="1"/>
  <c r="H83" i="1" s="1"/>
  <c r="L81" i="1"/>
  <c r="M81" i="1"/>
  <c r="D83" i="1"/>
  <c r="AU60" i="1"/>
  <c r="D65" i="1"/>
  <c r="D66" i="1"/>
  <c r="Q70" i="1"/>
  <c r="AO71" i="1"/>
  <c r="AU78" i="1"/>
  <c r="P75" i="1"/>
  <c r="N78" i="1"/>
  <c r="AF75" i="1"/>
  <c r="AD78" i="1"/>
  <c r="E76" i="1"/>
  <c r="U76" i="1"/>
  <c r="AK76" i="1"/>
  <c r="D80" i="1"/>
  <c r="L80" i="1"/>
  <c r="S83" i="1"/>
  <c r="U83" i="1" s="1"/>
  <c r="U80" i="1"/>
  <c r="AI83" i="1"/>
  <c r="AK83" i="1" s="1"/>
  <c r="AK80" i="1"/>
  <c r="Q81" i="1"/>
  <c r="K83" i="1"/>
  <c r="AJ83" i="1"/>
  <c r="AP88" i="1"/>
  <c r="AR85" i="1"/>
  <c r="AV89" i="1"/>
  <c r="AW89" i="1"/>
  <c r="G93" i="1"/>
  <c r="I93" i="1" s="1"/>
  <c r="H90" i="1"/>
  <c r="I90" i="1"/>
  <c r="O93" i="1"/>
  <c r="P90" i="1"/>
  <c r="Q90" i="1"/>
  <c r="W93" i="1"/>
  <c r="Y93" i="1" s="1"/>
  <c r="X90" i="1"/>
  <c r="Y90" i="1"/>
  <c r="L75" i="1"/>
  <c r="J78" i="1"/>
  <c r="AB75" i="1"/>
  <c r="Z78" i="1"/>
  <c r="AB78" i="1" s="1"/>
  <c r="AR75" i="1"/>
  <c r="AP78" i="1"/>
  <c r="AR78" i="1" s="1"/>
  <c r="AT77" i="1"/>
  <c r="AV77" i="1" s="1"/>
  <c r="D77" i="1"/>
  <c r="E78" i="1"/>
  <c r="E80" i="1"/>
  <c r="AU80" i="1"/>
  <c r="D81" i="1"/>
  <c r="AT81" i="1"/>
  <c r="AV81" i="1" s="1"/>
  <c r="U81" i="1"/>
  <c r="T81" i="1"/>
  <c r="AK81" i="1"/>
  <c r="AJ81" i="1"/>
  <c r="AU85" i="1"/>
  <c r="AW85" i="1" s="1"/>
  <c r="AB85" i="1"/>
  <c r="AA88" i="1"/>
  <c r="AC85" i="1"/>
  <c r="AS85" i="1"/>
  <c r="AJ86" i="1"/>
  <c r="AK86" i="1"/>
  <c r="P88" i="1"/>
  <c r="AF88" i="1"/>
  <c r="AJ93" i="1"/>
  <c r="Q98" i="1"/>
  <c r="AG98" i="1"/>
  <c r="AU71" i="1"/>
  <c r="AW71" i="1" s="1"/>
  <c r="V73" i="1"/>
  <c r="AT72" i="1"/>
  <c r="AV72" i="1" s="1"/>
  <c r="AS73" i="1"/>
  <c r="H75" i="1"/>
  <c r="F78" i="1"/>
  <c r="H78" i="1" s="1"/>
  <c r="X75" i="1"/>
  <c r="V78" i="1"/>
  <c r="AN75" i="1"/>
  <c r="AL78" i="1"/>
  <c r="AN78" i="1" s="1"/>
  <c r="AV79" i="1"/>
  <c r="H80" i="1"/>
  <c r="P80" i="1"/>
  <c r="W83" i="1"/>
  <c r="Y83" i="1" s="1"/>
  <c r="Y81" i="1"/>
  <c r="AM83" i="1"/>
  <c r="AO83" i="1" s="1"/>
  <c r="AO81" i="1"/>
  <c r="L85" i="1"/>
  <c r="K88" i="1"/>
  <c r="M88" i="1" s="1"/>
  <c r="M85" i="1"/>
  <c r="AV85" i="1"/>
  <c r="T86" i="1"/>
  <c r="U86" i="1"/>
  <c r="C93" i="1"/>
  <c r="D90" i="1"/>
  <c r="AU90" i="1"/>
  <c r="AW90" i="1" s="1"/>
  <c r="E90" i="1"/>
  <c r="K93" i="1"/>
  <c r="L90" i="1"/>
  <c r="M90" i="1"/>
  <c r="S93" i="1"/>
  <c r="U93" i="1" s="1"/>
  <c r="T90" i="1"/>
  <c r="U90" i="1"/>
  <c r="AA93" i="1"/>
  <c r="AC93" i="1" s="1"/>
  <c r="AB90" i="1"/>
  <c r="AC90" i="1"/>
  <c r="AN93" i="1"/>
  <c r="D98" i="1"/>
  <c r="AT98" i="1"/>
  <c r="T98" i="1"/>
  <c r="AJ98" i="1"/>
  <c r="AV96" i="1"/>
  <c r="AU75" i="1"/>
  <c r="AW75" i="1" s="1"/>
  <c r="H85" i="1"/>
  <c r="X85" i="1"/>
  <c r="AN85" i="1"/>
  <c r="P86" i="1"/>
  <c r="AF86" i="1"/>
  <c r="C88" i="1"/>
  <c r="G88" i="1"/>
  <c r="I88" i="1" s="1"/>
  <c r="S88" i="1"/>
  <c r="U88" i="1" s="1"/>
  <c r="W88" i="1"/>
  <c r="Y88" i="1" s="1"/>
  <c r="AI88" i="1"/>
  <c r="AM88" i="1"/>
  <c r="AO88" i="1" s="1"/>
  <c r="AQ88" i="1"/>
  <c r="AG90" i="1"/>
  <c r="AK90" i="1"/>
  <c r="AO90" i="1"/>
  <c r="AS90" i="1"/>
  <c r="E91" i="1"/>
  <c r="I91" i="1"/>
  <c r="M91" i="1"/>
  <c r="Q91" i="1"/>
  <c r="U91" i="1"/>
  <c r="Y91" i="1"/>
  <c r="AC91" i="1"/>
  <c r="AG91" i="1"/>
  <c r="AK91" i="1"/>
  <c r="AO91" i="1"/>
  <c r="AS91" i="1"/>
  <c r="D93" i="1"/>
  <c r="AT95" i="1"/>
  <c r="AK96" i="1"/>
  <c r="AN96" i="1"/>
  <c r="D97" i="1"/>
  <c r="AV99" i="1"/>
  <c r="F103" i="1"/>
  <c r="H103" i="1" s="1"/>
  <c r="P100" i="1"/>
  <c r="AF100" i="1"/>
  <c r="AU100" i="1"/>
  <c r="AW100" i="1" s="1"/>
  <c r="I101" i="1"/>
  <c r="Q101" i="1"/>
  <c r="AG101" i="1"/>
  <c r="AF101" i="1"/>
  <c r="C103" i="1"/>
  <c r="K103" i="1"/>
  <c r="AT105" i="1"/>
  <c r="AV105" i="1" s="1"/>
  <c r="D105" i="1"/>
  <c r="K108" i="1"/>
  <c r="M108" i="1" s="1"/>
  <c r="M105" i="1"/>
  <c r="AA108" i="1"/>
  <c r="AC108" i="1" s="1"/>
  <c r="AC105" i="1"/>
  <c r="AQ108" i="1"/>
  <c r="AS108" i="1" s="1"/>
  <c r="AS105" i="1"/>
  <c r="Q106" i="1"/>
  <c r="P106" i="1"/>
  <c r="AG106" i="1"/>
  <c r="AF106" i="1"/>
  <c r="AT107" i="1"/>
  <c r="AV107" i="1" s="1"/>
  <c r="AB110" i="1"/>
  <c r="AA113" i="1"/>
  <c r="AC113" i="1" s="1"/>
  <c r="AC110" i="1"/>
  <c r="AS110" i="1"/>
  <c r="AQ113" i="1"/>
  <c r="AK111" i="1"/>
  <c r="AS111" i="1"/>
  <c r="AD118" i="1"/>
  <c r="AF117" i="1"/>
  <c r="AT70" i="1"/>
  <c r="AV70" i="1" s="1"/>
  <c r="I85" i="1"/>
  <c r="D88" i="1"/>
  <c r="AU95" i="1"/>
  <c r="AG96" i="1"/>
  <c r="B103" i="1"/>
  <c r="L100" i="1"/>
  <c r="D101" i="1"/>
  <c r="L101" i="1"/>
  <c r="S103" i="1"/>
  <c r="X103" i="1"/>
  <c r="AI103" i="1"/>
  <c r="AU106" i="1"/>
  <c r="AW106" i="1" s="1"/>
  <c r="E106" i="1"/>
  <c r="Q110" i="1"/>
  <c r="O113" i="1"/>
  <c r="Q113" i="1" s="1"/>
  <c r="P110" i="1"/>
  <c r="AL113" i="1"/>
  <c r="AN110" i="1"/>
  <c r="AR110" i="1"/>
  <c r="Q111" i="1"/>
  <c r="P111" i="1"/>
  <c r="W118" i="1"/>
  <c r="Y115" i="1"/>
  <c r="X115" i="1"/>
  <c r="N118" i="1"/>
  <c r="P118" i="1" s="1"/>
  <c r="AT116" i="1"/>
  <c r="AV116" i="1" s="1"/>
  <c r="P116" i="1"/>
  <c r="AU91" i="1"/>
  <c r="AW91" i="1" s="1"/>
  <c r="AT92" i="1"/>
  <c r="AV92" i="1" s="1"/>
  <c r="N93" i="1"/>
  <c r="P93" i="1" s="1"/>
  <c r="AD93" i="1"/>
  <c r="AC100" i="1"/>
  <c r="AB100" i="1"/>
  <c r="AS100" i="1"/>
  <c r="AR100" i="1"/>
  <c r="E101" i="1"/>
  <c r="AU101" i="1"/>
  <c r="AW101" i="1" s="1"/>
  <c r="AT102" i="1"/>
  <c r="AV102" i="1" s="1"/>
  <c r="D102" i="1"/>
  <c r="I103" i="1"/>
  <c r="Q103" i="1"/>
  <c r="B108" i="1"/>
  <c r="AO110" i="1"/>
  <c r="AM113" i="1"/>
  <c r="AO113" i="1" s="1"/>
  <c r="T113" i="1"/>
  <c r="U113" i="1"/>
  <c r="AW114" i="1"/>
  <c r="AV114" i="1"/>
  <c r="AF90" i="1"/>
  <c r="AJ90" i="1"/>
  <c r="AN90" i="1"/>
  <c r="AR90" i="1"/>
  <c r="AO96" i="1"/>
  <c r="AR96" i="1"/>
  <c r="H98" i="1"/>
  <c r="X98" i="1"/>
  <c r="AQ98" i="1"/>
  <c r="AS98" i="1" s="1"/>
  <c r="D100" i="1"/>
  <c r="AA103" i="1"/>
  <c r="AF103" i="1"/>
  <c r="AQ103" i="1"/>
  <c r="G108" i="1"/>
  <c r="I105" i="1"/>
  <c r="H105" i="1"/>
  <c r="W108" i="1"/>
  <c r="Y105" i="1"/>
  <c r="X105" i="1"/>
  <c r="AM108" i="1"/>
  <c r="AO105" i="1"/>
  <c r="AN105" i="1"/>
  <c r="AB108" i="1"/>
  <c r="AR108" i="1"/>
  <c r="C113" i="1"/>
  <c r="AU110" i="1"/>
  <c r="E110" i="1"/>
  <c r="D110" i="1"/>
  <c r="AH113" i="1"/>
  <c r="AJ110" i="1"/>
  <c r="AT110" i="1"/>
  <c r="AV110" i="1" s="1"/>
  <c r="AU111" i="1"/>
  <c r="E111" i="1"/>
  <c r="D111" i="1"/>
  <c r="AJ111" i="1"/>
  <c r="AT111" i="1"/>
  <c r="AV111" i="1" s="1"/>
  <c r="AR111" i="1"/>
  <c r="AP113" i="1"/>
  <c r="C108" i="1"/>
  <c r="S108" i="1"/>
  <c r="AI108" i="1"/>
  <c r="AK110" i="1"/>
  <c r="AI113" i="1"/>
  <c r="AK113" i="1" s="1"/>
  <c r="AU115" i="1"/>
  <c r="I118" i="1"/>
  <c r="M118" i="1"/>
  <c r="AJ115" i="1"/>
  <c r="AH118" i="1"/>
  <c r="AJ118" i="1" s="1"/>
  <c r="AF116" i="1"/>
  <c r="AG116" i="1"/>
  <c r="AS116" i="1"/>
  <c r="AE118" i="1"/>
  <c r="O108" i="1"/>
  <c r="T105" i="1"/>
  <c r="AE108" i="1"/>
  <c r="AG108" i="1" s="1"/>
  <c r="AJ105" i="1"/>
  <c r="L110" i="1"/>
  <c r="K113" i="1"/>
  <c r="M113" i="1" s="1"/>
  <c r="AG110" i="1"/>
  <c r="AE113" i="1"/>
  <c r="AG113" i="1" s="1"/>
  <c r="AG111" i="1"/>
  <c r="AF111" i="1"/>
  <c r="AO111" i="1"/>
  <c r="D113" i="1"/>
  <c r="I113" i="1"/>
  <c r="AF113" i="1"/>
  <c r="AT113" i="1"/>
  <c r="AK115" i="1"/>
  <c r="AS118" i="1"/>
  <c r="U116" i="1"/>
  <c r="S118" i="1"/>
  <c r="U118" i="1" s="1"/>
  <c r="B123" i="1"/>
  <c r="E120" i="1"/>
  <c r="D120" i="1"/>
  <c r="J123" i="1"/>
  <c r="L123" i="1" s="1"/>
  <c r="M120" i="1"/>
  <c r="L120" i="1"/>
  <c r="R123" i="1"/>
  <c r="T123" i="1" s="1"/>
  <c r="U120" i="1"/>
  <c r="T120" i="1"/>
  <c r="Z123" i="1"/>
  <c r="AB123" i="1" s="1"/>
  <c r="AC120" i="1"/>
  <c r="AB120" i="1"/>
  <c r="AH123" i="1"/>
  <c r="AJ123" i="1" s="1"/>
  <c r="AK120" i="1"/>
  <c r="AJ120" i="1"/>
  <c r="AP123" i="1"/>
  <c r="AR123" i="1" s="1"/>
  <c r="AS120" i="1"/>
  <c r="AR120" i="1"/>
  <c r="AW121" i="1"/>
  <c r="AB113" i="1"/>
  <c r="H118" i="1"/>
  <c r="AM118" i="1"/>
  <c r="AO118" i="1" s="1"/>
  <c r="AO115" i="1"/>
  <c r="E116" i="1"/>
  <c r="C118" i="1"/>
  <c r="D116" i="1"/>
  <c r="Q118" i="1"/>
  <c r="F123" i="1"/>
  <c r="H123" i="1" s="1"/>
  <c r="I120" i="1"/>
  <c r="H120" i="1"/>
  <c r="N123" i="1"/>
  <c r="P123" i="1" s="1"/>
  <c r="Q120" i="1"/>
  <c r="P120" i="1"/>
  <c r="V123" i="1"/>
  <c r="X123" i="1" s="1"/>
  <c r="Y120" i="1"/>
  <c r="X120" i="1"/>
  <c r="AD123" i="1"/>
  <c r="AF123" i="1" s="1"/>
  <c r="AG120" i="1"/>
  <c r="AF120" i="1"/>
  <c r="AL123" i="1"/>
  <c r="AN123" i="1" s="1"/>
  <c r="AO120" i="1"/>
  <c r="AN120" i="1"/>
  <c r="AT120" i="1"/>
  <c r="AT115" i="1"/>
  <c r="AV115" i="1" s="1"/>
  <c r="Q116" i="1"/>
  <c r="AC118" i="1"/>
  <c r="E123" i="1"/>
  <c r="AU123" i="1"/>
  <c r="I123" i="1"/>
  <c r="M123" i="1"/>
  <c r="Q123" i="1"/>
  <c r="AC123" i="1"/>
  <c r="AG123" i="1"/>
  <c r="AK123" i="1"/>
  <c r="AO123" i="1"/>
  <c r="AS123" i="1"/>
  <c r="D121" i="1"/>
  <c r="H121" i="1"/>
  <c r="L121" i="1"/>
  <c r="P121" i="1"/>
  <c r="T121" i="1"/>
  <c r="X121" i="1"/>
  <c r="AB121" i="1"/>
  <c r="AF121" i="1"/>
  <c r="AJ121" i="1"/>
  <c r="AN121" i="1"/>
  <c r="AR121" i="1"/>
  <c r="U115" i="1"/>
  <c r="AR115" i="1"/>
  <c r="M116" i="1"/>
  <c r="AJ116" i="1"/>
  <c r="E121" i="1"/>
  <c r="AT122" i="1"/>
  <c r="AV122" i="1" s="1"/>
  <c r="D122" i="1"/>
  <c r="AN115" i="1"/>
  <c r="AT117" i="1"/>
  <c r="AV117" i="1" s="1"/>
  <c r="AU120" i="1"/>
  <c r="AW120" i="1" s="1"/>
  <c r="Q108" i="1" l="1"/>
  <c r="P108" i="1"/>
  <c r="AK108" i="1"/>
  <c r="AJ108" i="1"/>
  <c r="U108" i="1"/>
  <c r="T108" i="1"/>
  <c r="AF93" i="1"/>
  <c r="AG93" i="1"/>
  <c r="AF118" i="1"/>
  <c r="AS113" i="1"/>
  <c r="M103" i="1"/>
  <c r="L103" i="1"/>
  <c r="AV95" i="1"/>
  <c r="AK88" i="1"/>
  <c r="AJ88" i="1"/>
  <c r="M93" i="1"/>
  <c r="L93" i="1"/>
  <c r="X78" i="1"/>
  <c r="Y78" i="1"/>
  <c r="X73" i="1"/>
  <c r="Y73" i="1"/>
  <c r="AC88" i="1"/>
  <c r="AB88" i="1"/>
  <c r="AW80" i="1"/>
  <c r="AV80" i="1"/>
  <c r="L78" i="1"/>
  <c r="M78" i="1"/>
  <c r="AR88" i="1"/>
  <c r="M83" i="1"/>
  <c r="L83" i="1"/>
  <c r="AV60" i="1"/>
  <c r="P63" i="1"/>
  <c r="Q63" i="1"/>
  <c r="H63" i="1"/>
  <c r="I63" i="1"/>
  <c r="AU53" i="1"/>
  <c r="AF48" i="1"/>
  <c r="AG48" i="1"/>
  <c r="AW46" i="1"/>
  <c r="AV46" i="1"/>
  <c r="H53" i="1"/>
  <c r="X48" i="1"/>
  <c r="Y48" i="1"/>
  <c r="AV51" i="1"/>
  <c r="AB53" i="1"/>
  <c r="AC53" i="1"/>
  <c r="AW35" i="1"/>
  <c r="AV35" i="1"/>
  <c r="AN33" i="1"/>
  <c r="AO33" i="1"/>
  <c r="X33" i="1"/>
  <c r="Y33" i="1"/>
  <c r="AO38" i="1"/>
  <c r="AN38" i="1"/>
  <c r="AF38" i="1"/>
  <c r="AT38" i="1"/>
  <c r="AV26" i="1"/>
  <c r="Y28" i="1"/>
  <c r="X28" i="1"/>
  <c r="AP124" i="1"/>
  <c r="J124" i="1"/>
  <c r="AW15" i="1"/>
  <c r="AV15" i="1"/>
  <c r="L118" i="1"/>
  <c r="AO98" i="1"/>
  <c r="AF98" i="1"/>
  <c r="AB98" i="1"/>
  <c r="P98" i="1"/>
  <c r="L98" i="1"/>
  <c r="AR73" i="1"/>
  <c r="AC58" i="1"/>
  <c r="T58" i="1"/>
  <c r="Q58" i="1"/>
  <c r="AV55" i="1"/>
  <c r="AS48" i="1"/>
  <c r="AK48" i="1"/>
  <c r="AJ48" i="1"/>
  <c r="D48" i="1"/>
  <c r="AR43" i="1"/>
  <c r="AN43" i="1"/>
  <c r="AF43" i="1"/>
  <c r="AB43" i="1"/>
  <c r="X43" i="1"/>
  <c r="P43" i="1"/>
  <c r="H43" i="1"/>
  <c r="AS33" i="1"/>
  <c r="AR33" i="1"/>
  <c r="AC33" i="1"/>
  <c r="AB33" i="1"/>
  <c r="AS28" i="1"/>
  <c r="AR28" i="1"/>
  <c r="AC28" i="1"/>
  <c r="AB28" i="1"/>
  <c r="M28" i="1"/>
  <c r="L28" i="1"/>
  <c r="AO108" i="1"/>
  <c r="AN108" i="1"/>
  <c r="P78" i="1"/>
  <c r="Q78" i="1"/>
  <c r="AC78" i="1"/>
  <c r="I78" i="1"/>
  <c r="AR11" i="1"/>
  <c r="AP12" i="1"/>
  <c r="AS11" i="1"/>
  <c r="X38" i="1"/>
  <c r="V124" i="1"/>
  <c r="AE124" i="1"/>
  <c r="AG18" i="1"/>
  <c r="K124" i="1"/>
  <c r="L124" i="1" s="1"/>
  <c r="M18" i="1"/>
  <c r="E118" i="1"/>
  <c r="AU118" i="1"/>
  <c r="D118" i="1"/>
  <c r="AR113" i="1"/>
  <c r="AW110" i="1"/>
  <c r="L108" i="1"/>
  <c r="AC103" i="1"/>
  <c r="AB103" i="1"/>
  <c r="AW116" i="1"/>
  <c r="D108" i="1"/>
  <c r="AT108" i="1"/>
  <c r="AR98" i="1"/>
  <c r="Y118" i="1"/>
  <c r="X118" i="1"/>
  <c r="AV106" i="1"/>
  <c r="AS88" i="1"/>
  <c r="T93" i="1"/>
  <c r="AV90" i="1"/>
  <c r="AB93" i="1"/>
  <c r="Q93" i="1"/>
  <c r="T88" i="1"/>
  <c r="AV75" i="1"/>
  <c r="Q68" i="1"/>
  <c r="AO58" i="1"/>
  <c r="AN53" i="1"/>
  <c r="L88" i="1"/>
  <c r="AV71" i="1"/>
  <c r="AN68" i="1"/>
  <c r="Q48" i="1"/>
  <c r="AS63" i="1"/>
  <c r="AK53" i="1"/>
  <c r="Q28" i="1"/>
  <c r="AS53" i="1"/>
  <c r="U38" i="1"/>
  <c r="T38" i="1"/>
  <c r="U28" i="1"/>
  <c r="X93" i="1"/>
  <c r="AG33" i="1"/>
  <c r="AW26" i="1"/>
  <c r="AV16" i="1"/>
  <c r="W124" i="1"/>
  <c r="Y18" i="1"/>
  <c r="T11" i="1"/>
  <c r="R12" i="1"/>
  <c r="U11" i="1"/>
  <c r="U23" i="1"/>
  <c r="AW43" i="1"/>
  <c r="H38" i="1"/>
  <c r="AC23" i="1"/>
  <c r="AB23" i="1"/>
  <c r="AF18" i="1"/>
  <c r="N124" i="1"/>
  <c r="P18" i="1"/>
  <c r="L18" i="1"/>
  <c r="S124" i="1"/>
  <c r="U18" i="1"/>
  <c r="AN11" i="1"/>
  <c r="AL12" i="1"/>
  <c r="AO11" i="1"/>
  <c r="H11" i="1"/>
  <c r="F12" i="1"/>
  <c r="I11" i="1"/>
  <c r="AN23" i="1"/>
  <c r="AO23" i="1"/>
  <c r="P53" i="1"/>
  <c r="AV31" i="1"/>
  <c r="AV25" i="1"/>
  <c r="AG23" i="1"/>
  <c r="Z124" i="1"/>
  <c r="U33" i="1"/>
  <c r="AU108" i="1"/>
  <c r="E108" i="1"/>
  <c r="U103" i="1"/>
  <c r="T103" i="1"/>
  <c r="AU83" i="1"/>
  <c r="T63" i="1"/>
  <c r="U63" i="1"/>
  <c r="AU98" i="1"/>
  <c r="AW98" i="1" s="1"/>
  <c r="L11" i="1"/>
  <c r="J12" i="1"/>
  <c r="M11" i="1"/>
  <c r="O124" i="1"/>
  <c r="Q18" i="1"/>
  <c r="AL124" i="1"/>
  <c r="AQ124" i="1"/>
  <c r="AS18" i="1"/>
  <c r="AF11" i="1"/>
  <c r="AD12" i="1"/>
  <c r="AG11" i="1"/>
  <c r="AH124" i="1"/>
  <c r="Y123" i="1"/>
  <c r="U123" i="1"/>
  <c r="AT118" i="1"/>
  <c r="D123" i="1"/>
  <c r="AT123" i="1"/>
  <c r="AV123" i="1" s="1"/>
  <c r="AG118" i="1"/>
  <c r="AW115" i="1"/>
  <c r="AJ113" i="1"/>
  <c r="AU113" i="1"/>
  <c r="AW113" i="1" s="1"/>
  <c r="E113" i="1"/>
  <c r="I108" i="1"/>
  <c r="H108" i="1"/>
  <c r="AV100" i="1"/>
  <c r="T118" i="1"/>
  <c r="AW105" i="1"/>
  <c r="AK118" i="1"/>
  <c r="AN118" i="1"/>
  <c r="AN113" i="1"/>
  <c r="AF108" i="1"/>
  <c r="AK103" i="1"/>
  <c r="AJ103" i="1"/>
  <c r="AW95" i="1"/>
  <c r="AV101" i="1"/>
  <c r="AU93" i="1"/>
  <c r="E93" i="1"/>
  <c r="AN88" i="1"/>
  <c r="H88" i="1"/>
  <c r="AN83" i="1"/>
  <c r="H93" i="1"/>
  <c r="X83" i="1"/>
  <c r="AF78" i="1"/>
  <c r="AG78" i="1"/>
  <c r="AT88" i="1"/>
  <c r="I53" i="1"/>
  <c r="AW81" i="1"/>
  <c r="M73" i="1"/>
  <c r="L73" i="1"/>
  <c r="X53" i="1"/>
  <c r="AF83" i="1"/>
  <c r="AJ63" i="1"/>
  <c r="AK63" i="1"/>
  <c r="D63" i="1"/>
  <c r="AT63" i="1"/>
  <c r="AV63" i="1" s="1"/>
  <c r="Y58" i="1"/>
  <c r="AS78" i="1"/>
  <c r="X68" i="1"/>
  <c r="AT48" i="1"/>
  <c r="AV48" i="1" s="1"/>
  <c r="L33" i="1"/>
  <c r="M33" i="1"/>
  <c r="I83" i="1"/>
  <c r="AC63" i="1"/>
  <c r="AW51" i="1"/>
  <c r="B124" i="1"/>
  <c r="AT18" i="1"/>
  <c r="D18" i="1"/>
  <c r="AV45" i="1"/>
  <c r="AT93" i="1"/>
  <c r="AW70" i="1"/>
  <c r="AN28" i="1"/>
  <c r="H28" i="1"/>
  <c r="AB11" i="1"/>
  <c r="Z12" i="1"/>
  <c r="AC11" i="1"/>
  <c r="Q33" i="1"/>
  <c r="AT23" i="1"/>
  <c r="AV23" i="1" s="1"/>
  <c r="D23" i="1"/>
  <c r="AD124" i="1"/>
  <c r="AF124" i="1" s="1"/>
  <c r="AA124" i="1"/>
  <c r="AC18" i="1"/>
  <c r="P11" i="1"/>
  <c r="N12" i="1"/>
  <c r="Q11" i="1"/>
  <c r="H33" i="1"/>
  <c r="AO63" i="1"/>
  <c r="AV50" i="1"/>
  <c r="R124" i="1"/>
  <c r="T124" i="1" s="1"/>
  <c r="AT103" i="1"/>
  <c r="D103" i="1"/>
  <c r="L113" i="1"/>
  <c r="X88" i="1"/>
  <c r="AC73" i="1"/>
  <c r="AB73" i="1"/>
  <c r="D33" i="1"/>
  <c r="AT33" i="1"/>
  <c r="AG63" i="1"/>
  <c r="E68" i="1"/>
  <c r="AU68" i="1"/>
  <c r="AV120" i="1"/>
  <c r="P113" i="1"/>
  <c r="AW111" i="1"/>
  <c r="Y108" i="1"/>
  <c r="X108" i="1"/>
  <c r="AS103" i="1"/>
  <c r="AR103" i="1"/>
  <c r="E103" i="1"/>
  <c r="AU103" i="1"/>
  <c r="AU88" i="1"/>
  <c r="AW88" i="1" s="1"/>
  <c r="E88" i="1"/>
  <c r="AT73" i="1"/>
  <c r="AW60" i="1"/>
  <c r="AT83" i="1"/>
  <c r="AV83" i="1" s="1"/>
  <c r="P83" i="1"/>
  <c r="AK78" i="1"/>
  <c r="AJ78" i="1"/>
  <c r="AT78" i="1"/>
  <c r="AV78" i="1" s="1"/>
  <c r="D78" i="1"/>
  <c r="AU73" i="1"/>
  <c r="AW73" i="1" s="1"/>
  <c r="AO73" i="1"/>
  <c r="AW63" i="1"/>
  <c r="T83" i="1"/>
  <c r="AT58" i="1"/>
  <c r="AT68" i="1"/>
  <c r="M63" i="1"/>
  <c r="AO78" i="1"/>
  <c r="AK38" i="1"/>
  <c r="AJ38" i="1"/>
  <c r="E38" i="1"/>
  <c r="AU38" i="1"/>
  <c r="AW38" i="1" s="1"/>
  <c r="D38" i="1"/>
  <c r="AU28" i="1"/>
  <c r="AV91" i="1"/>
  <c r="H68" i="1"/>
  <c r="AW40" i="1"/>
  <c r="AW23" i="1"/>
  <c r="AM124" i="1"/>
  <c r="AO18" i="1"/>
  <c r="G124" i="1"/>
  <c r="I18" i="1"/>
  <c r="AJ11" i="1"/>
  <c r="AH12" i="1"/>
  <c r="AK11" i="1"/>
  <c r="D11" i="1"/>
  <c r="B12" i="1"/>
  <c r="AT11" i="1"/>
  <c r="E11" i="1"/>
  <c r="AS23" i="1"/>
  <c r="AR23" i="1"/>
  <c r="M23" i="1"/>
  <c r="L23" i="1"/>
  <c r="AN18" i="1"/>
  <c r="F124" i="1"/>
  <c r="H124" i="1" s="1"/>
  <c r="C124" i="1"/>
  <c r="E18" i="1"/>
  <c r="AU18" i="1"/>
  <c r="AW18" i="1" s="1"/>
  <c r="X11" i="1"/>
  <c r="V12" i="1"/>
  <c r="Y11" i="1"/>
  <c r="H23" i="1"/>
  <c r="I23" i="1"/>
  <c r="Y63" i="1"/>
  <c r="AU33" i="1"/>
  <c r="E33" i="1"/>
  <c r="AT28" i="1"/>
  <c r="AV28" i="1" s="1"/>
  <c r="D28" i="1"/>
  <c r="AI124" i="1"/>
  <c r="AK18" i="1"/>
  <c r="D53" i="1"/>
  <c r="AT53" i="1"/>
  <c r="AV53" i="1" s="1"/>
  <c r="X23" i="1"/>
  <c r="Y23" i="1"/>
  <c r="AK33" i="1"/>
  <c r="AV11" i="1" l="1"/>
  <c r="AW11" i="1"/>
  <c r="AV58" i="1"/>
  <c r="AW58" i="1"/>
  <c r="AW68" i="1"/>
  <c r="AV33" i="1"/>
  <c r="AV103" i="1"/>
  <c r="AW93" i="1"/>
  <c r="AJ124" i="1"/>
  <c r="AV108" i="1"/>
  <c r="AW118" i="1"/>
  <c r="AB124" i="1"/>
  <c r="Y124" i="1"/>
  <c r="W125" i="1"/>
  <c r="AV38" i="1"/>
  <c r="AK124" i="1"/>
  <c r="AI125" i="1"/>
  <c r="AW33" i="1"/>
  <c r="I124" i="1"/>
  <c r="G125" i="1"/>
  <c r="AV68" i="1"/>
  <c r="AW103" i="1"/>
  <c r="AV113" i="1"/>
  <c r="Z125" i="1"/>
  <c r="AB12" i="1"/>
  <c r="AC12" i="1"/>
  <c r="AV18" i="1"/>
  <c r="AV98" i="1"/>
  <c r="AD125" i="1"/>
  <c r="AF12" i="1"/>
  <c r="AG12" i="1"/>
  <c r="AN124" i="1"/>
  <c r="J125" i="1"/>
  <c r="L12" i="1"/>
  <c r="M12" i="1"/>
  <c r="P124" i="1"/>
  <c r="R125" i="1"/>
  <c r="T12" i="1"/>
  <c r="U12" i="1"/>
  <c r="AG124" i="1"/>
  <c r="AE125" i="1"/>
  <c r="AP125" i="1"/>
  <c r="AR12" i="1"/>
  <c r="AS12" i="1"/>
  <c r="AO124" i="1"/>
  <c r="AM125" i="1"/>
  <c r="AW28" i="1"/>
  <c r="N125" i="1"/>
  <c r="P12" i="1"/>
  <c r="Q12" i="1"/>
  <c r="AS124" i="1"/>
  <c r="AQ125" i="1"/>
  <c r="F125" i="1"/>
  <c r="H12" i="1"/>
  <c r="I12" i="1"/>
  <c r="V125" i="1"/>
  <c r="X12" i="1"/>
  <c r="Y12" i="1"/>
  <c r="E124" i="1"/>
  <c r="AU124" i="1"/>
  <c r="C125" i="1"/>
  <c r="AH125" i="1"/>
  <c r="AJ12" i="1"/>
  <c r="AK12" i="1"/>
  <c r="AV73" i="1"/>
  <c r="AV93" i="1"/>
  <c r="D124" i="1"/>
  <c r="AT124" i="1"/>
  <c r="AV124" i="1" s="1"/>
  <c r="AV88" i="1"/>
  <c r="AV118" i="1"/>
  <c r="AW83" i="1"/>
  <c r="AW108" i="1"/>
  <c r="U124" i="1"/>
  <c r="S125" i="1"/>
  <c r="AW48" i="1"/>
  <c r="X124" i="1"/>
  <c r="AR124" i="1"/>
  <c r="B125" i="1"/>
  <c r="D12" i="1"/>
  <c r="AT12" i="1"/>
  <c r="E12" i="1"/>
  <c r="AC124" i="1"/>
  <c r="AA125" i="1"/>
  <c r="AW78" i="1"/>
  <c r="AW123" i="1"/>
  <c r="Q124" i="1"/>
  <c r="O125" i="1"/>
  <c r="AL125" i="1"/>
  <c r="AN12" i="1"/>
  <c r="AO12" i="1"/>
  <c r="M124" i="1"/>
  <c r="K125" i="1"/>
  <c r="AW53" i="1"/>
  <c r="M125" i="1" l="1"/>
  <c r="K126" i="1"/>
  <c r="M126" i="1" s="1"/>
  <c r="AN125" i="1"/>
  <c r="AL126" i="1"/>
  <c r="X125" i="1"/>
  <c r="V126" i="1"/>
  <c r="P125" i="1"/>
  <c r="N126" i="1"/>
  <c r="I125" i="1"/>
  <c r="G126" i="1"/>
  <c r="I126" i="1" s="1"/>
  <c r="AC125" i="1"/>
  <c r="AA126" i="1"/>
  <c r="AC126" i="1" s="1"/>
  <c r="D125" i="1"/>
  <c r="B126" i="1"/>
  <c r="AT125" i="1"/>
  <c r="U125" i="1"/>
  <c r="S126" i="1"/>
  <c r="U126" i="1" s="1"/>
  <c r="AJ125" i="1"/>
  <c r="AH126" i="1"/>
  <c r="AO125" i="1"/>
  <c r="AM126" i="1"/>
  <c r="AO126" i="1" s="1"/>
  <c r="AR125" i="1"/>
  <c r="AP126" i="1"/>
  <c r="Y125" i="1"/>
  <c r="W126" i="1"/>
  <c r="Y126" i="1" s="1"/>
  <c r="AV12" i="1"/>
  <c r="AW12" i="1"/>
  <c r="AW124" i="1"/>
  <c r="AS125" i="1"/>
  <c r="AQ126" i="1"/>
  <c r="AS126" i="1" s="1"/>
  <c r="AB125" i="1"/>
  <c r="Z126" i="1"/>
  <c r="AB126" i="1" s="1"/>
  <c r="Q125" i="1"/>
  <c r="O126" i="1"/>
  <c r="Q126" i="1" s="1"/>
  <c r="E125" i="1"/>
  <c r="C126" i="1"/>
  <c r="AU125" i="1"/>
  <c r="AW125" i="1" s="1"/>
  <c r="H125" i="1"/>
  <c r="F126" i="1"/>
  <c r="AG125" i="1"/>
  <c r="AE126" i="1"/>
  <c r="AG126" i="1" s="1"/>
  <c r="T125" i="1"/>
  <c r="R126" i="1"/>
  <c r="T126" i="1" s="1"/>
  <c r="L125" i="1"/>
  <c r="J126" i="1"/>
  <c r="AF125" i="1"/>
  <c r="AD126" i="1"/>
  <c r="AK125" i="1"/>
  <c r="AI126" i="1"/>
  <c r="AK126" i="1" s="1"/>
  <c r="X126" i="1" l="1"/>
  <c r="AN126" i="1"/>
  <c r="D126" i="1"/>
  <c r="AT126" i="1"/>
  <c r="E126" i="1"/>
  <c r="AU126" i="1"/>
  <c r="AW126" i="1" s="1"/>
  <c r="P126" i="1"/>
  <c r="AF126" i="1"/>
  <c r="H126" i="1"/>
  <c r="AR126" i="1"/>
  <c r="AJ126" i="1"/>
  <c r="AV125" i="1"/>
  <c r="L126" i="1"/>
  <c r="AV126" i="1" l="1"/>
</calcChain>
</file>

<file path=xl/sharedStrings.xml><?xml version="1.0" encoding="utf-8"?>
<sst xmlns="http://schemas.openxmlformats.org/spreadsheetml/2006/main" count="184" uniqueCount="140">
  <si>
    <t>Michigan Statewide Independent Living Corp</t>
  </si>
  <si>
    <t xml:space="preserve">Budget vs. Actuals: FY2020_2021 - FY21 P&amp;L </t>
  </si>
  <si>
    <t>October 2020 - August 2021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</si>
  <si>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</si>
  <si>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</si>
  <si>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</si>
  <si>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</si>
  <si>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</si>
  <si>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</si>
  <si>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</si>
  <si>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</si>
  <si>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</si>
  <si>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</si>
  <si>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</si>
  <si>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Total</t>
  </si>
  <si>
    <t>Actual</t>
  </si>
  <si>
    <t>Budget</t>
  </si>
  <si>
    <t>over Budget</t>
  </si>
  <si>
    <t>% of Budget</t>
  </si>
  <si>
    <t>Revenue</t>
  </si>
  <si>
    <t xml:space="preserve">   4010-00 MRS Grant</t>
  </si>
  <si>
    <t xml:space="preserve">   4020-00 BSBP Grant</t>
  </si>
  <si>
    <t xml:space="preserve">   4900-00 Interest Income</t>
  </si>
  <si>
    <t>Total Revenue</t>
  </si>
  <si>
    <t>Gross Profit</t>
  </si>
  <si>
    <t>Expenditures</t>
  </si>
  <si>
    <t xml:space="preserve">   5000-00 Wage Expense</t>
  </si>
  <si>
    <t xml:space="preserve">      5000-01 Wages-MRS</t>
  </si>
  <si>
    <t xml:space="preserve">      5000-02 Wages-BSBP</t>
  </si>
  <si>
    <t xml:space="preserve">      5000-99 Wages-Unallocated</t>
  </si>
  <si>
    <t xml:space="preserve">   Total 5000-00 Wage Expense</t>
  </si>
  <si>
    <t xml:space="preserve">   5100-00 Social Security Expense</t>
  </si>
  <si>
    <t xml:space="preserve">      5100-01 Social Sec-MRS</t>
  </si>
  <si>
    <t xml:space="preserve">      5100-02 Social Sec-BSBP</t>
  </si>
  <si>
    <t xml:space="preserve">      5100-99 Social Sec-Unallacated</t>
  </si>
  <si>
    <t xml:space="preserve">   Total 5100-00 Social Security Expense</t>
  </si>
  <si>
    <t xml:space="preserve">   5200-00 Medicare Expense</t>
  </si>
  <si>
    <t xml:space="preserve">      5200-01 Medicare-MRS</t>
  </si>
  <si>
    <t xml:space="preserve">      5200-02 Medicare-BSBP</t>
  </si>
  <si>
    <t xml:space="preserve">      5200-99 Medicare-Unallocated</t>
  </si>
  <si>
    <t xml:space="preserve">   Total 5200-00 Medicare Expense</t>
  </si>
  <si>
    <t xml:space="preserve">   5300-00 UIA Expense</t>
  </si>
  <si>
    <t xml:space="preserve">      5300-01 UIA-MRS</t>
  </si>
  <si>
    <t xml:space="preserve">      5300-02 UIA-BSBP</t>
  </si>
  <si>
    <t xml:space="preserve">      5300-99 UIA-Unallocated</t>
  </si>
  <si>
    <t xml:space="preserve">   Total 5300-00 UIA Expense</t>
  </si>
  <si>
    <t xml:space="preserve">   5400-00 Dental Insurance</t>
  </si>
  <si>
    <t xml:space="preserve">      5400-01 Dental-MRS</t>
  </si>
  <si>
    <t xml:space="preserve">      5400-02 Dental-BSBP</t>
  </si>
  <si>
    <t xml:space="preserve">      5400-99 Dental-Unallocated</t>
  </si>
  <si>
    <t xml:space="preserve">   Total 5400-00 Dental Insurance</t>
  </si>
  <si>
    <t xml:space="preserve">   5500-00 Health Insurance Expense</t>
  </si>
  <si>
    <t xml:space="preserve">      5500-01 Health-MRS</t>
  </si>
  <si>
    <t xml:space="preserve">      5500-02 Health-BSBP</t>
  </si>
  <si>
    <t xml:space="preserve">      5500-99 Health-Unallocated</t>
  </si>
  <si>
    <t xml:space="preserve">   Total 5500-00 Health Insurance Expense</t>
  </si>
  <si>
    <t xml:space="preserve">   5600-00 Disability/Life Expense</t>
  </si>
  <si>
    <t xml:space="preserve">      5600-01 Disability-MRS</t>
  </si>
  <si>
    <t xml:space="preserve">      5600-02 Disability-BSBP</t>
  </si>
  <si>
    <t xml:space="preserve">      5600-99 Disability-Unallocated</t>
  </si>
  <si>
    <t xml:space="preserve">   Total 5600-00 Disability/Life Expense</t>
  </si>
  <si>
    <t xml:space="preserve">   5700-00 Professional Fees</t>
  </si>
  <si>
    <t xml:space="preserve">      5700-01 Professional-MRS</t>
  </si>
  <si>
    <t xml:space="preserve">      5700-02 Professional-BSBP</t>
  </si>
  <si>
    <t xml:space="preserve">      5700-99 Professional-Unallocated</t>
  </si>
  <si>
    <t xml:space="preserve">   Total 5700-00 Professional Fees</t>
  </si>
  <si>
    <t xml:space="preserve">   5950-00 Retirement</t>
  </si>
  <si>
    <t xml:space="preserve">      5950-01 Retirement-MRS</t>
  </si>
  <si>
    <t xml:space="preserve">      5950-02 Retirement-BSBP</t>
  </si>
  <si>
    <t xml:space="preserve">      5950-99 Retirement-Unallocated</t>
  </si>
  <si>
    <t xml:space="preserve">   Total 5950-00 Retirement</t>
  </si>
  <si>
    <t xml:space="preserve">   6000-00 Rent Expense</t>
  </si>
  <si>
    <t xml:space="preserve">      6000-01 Rent-MRS</t>
  </si>
  <si>
    <t xml:space="preserve">      6000-02 Rent-BSBP</t>
  </si>
  <si>
    <t xml:space="preserve">      6000-99 Rent-Unallocated</t>
  </si>
  <si>
    <t xml:space="preserve">   Total 6000-00 Rent Expense</t>
  </si>
  <si>
    <t xml:space="preserve">   6100-00 Communications</t>
  </si>
  <si>
    <t xml:space="preserve">      6100-01 Communication-MRS</t>
  </si>
  <si>
    <t xml:space="preserve">      6100-02 Communication-BSBP</t>
  </si>
  <si>
    <t xml:space="preserve">      6100-99 Communication-Unallocated</t>
  </si>
  <si>
    <t xml:space="preserve">   Total 6100-00 Communications</t>
  </si>
  <si>
    <t xml:space="preserve">   6200-00 Audit</t>
  </si>
  <si>
    <t xml:space="preserve">      6200-01 Audit-MRS</t>
  </si>
  <si>
    <t xml:space="preserve">      6200-02 Audit-BSBP</t>
  </si>
  <si>
    <t xml:space="preserve">      6200-99 Audit-Unallocated</t>
  </si>
  <si>
    <t xml:space="preserve">   Total 6200-00 Audit</t>
  </si>
  <si>
    <t xml:space="preserve">   6300-00 Insurance</t>
  </si>
  <si>
    <t xml:space="preserve">      6300-01 Insurance-MRS</t>
  </si>
  <si>
    <t xml:space="preserve">      6300-02 Insurance-BSBP</t>
  </si>
  <si>
    <t xml:space="preserve">      6300-99 Insurance-Unallocated</t>
  </si>
  <si>
    <t xml:space="preserve">   Total 6300-00 Insurance</t>
  </si>
  <si>
    <t xml:space="preserve">   6400-00 Postage</t>
  </si>
  <si>
    <t xml:space="preserve">      6400-01 Postage-MRS</t>
  </si>
  <si>
    <t xml:space="preserve">      6400-02 Postage-BSBP</t>
  </si>
  <si>
    <t xml:space="preserve">      6400-99 Postage-Unallocated</t>
  </si>
  <si>
    <t xml:space="preserve">   Total 6400-00 Postage</t>
  </si>
  <si>
    <t xml:space="preserve">   6600-00 Supplies</t>
  </si>
  <si>
    <t xml:space="preserve">      6600-01 Supplies-MRS</t>
  </si>
  <si>
    <t xml:space="preserve">      6600-02 Supplies-BSBP</t>
  </si>
  <si>
    <t xml:space="preserve">      6600-99 Supplies-Unallocated</t>
  </si>
  <si>
    <t xml:space="preserve">   Total 6600-00 Supplies</t>
  </si>
  <si>
    <t xml:space="preserve">   6700-00 Statewide Data System License</t>
  </si>
  <si>
    <t xml:space="preserve">      6700-01 Data System-MRS</t>
  </si>
  <si>
    <t xml:space="preserve">      6700-02 Data System-BSBP</t>
  </si>
  <si>
    <t xml:space="preserve">      6700-99 Data System-Unallocated</t>
  </si>
  <si>
    <t xml:space="preserve">   Total 6700-00 Statewide Data System License</t>
  </si>
  <si>
    <t xml:space="preserve">   6800-00 Accomodations</t>
  </si>
  <si>
    <t xml:space="preserve">      6800-01 Accomodations-MRS</t>
  </si>
  <si>
    <t xml:space="preserve">      6800-02 Accomodations-BSBP</t>
  </si>
  <si>
    <t xml:space="preserve">      6800-99 Accomodations-Unallocated</t>
  </si>
  <si>
    <t xml:space="preserve">   Total 6800-00 Accomodations</t>
  </si>
  <si>
    <t xml:space="preserve">   6900-00 Training</t>
  </si>
  <si>
    <t xml:space="preserve">      6900-01 Training-MRS</t>
  </si>
  <si>
    <t xml:space="preserve">      6900-02 Training-BSBP</t>
  </si>
  <si>
    <t xml:space="preserve">      6900-99 Training-Unallocated</t>
  </si>
  <si>
    <t xml:space="preserve">   Total 6900-00 Training</t>
  </si>
  <si>
    <t xml:space="preserve">   7000-00 Travel</t>
  </si>
  <si>
    <t xml:space="preserve">      7000-01 Travel-MRS</t>
  </si>
  <si>
    <t xml:space="preserve">      7000-02 Travel-BSBP</t>
  </si>
  <si>
    <t xml:space="preserve">      7000-99 Travel-Unallocated</t>
  </si>
  <si>
    <t xml:space="preserve">   Total 7000-00 Travel</t>
  </si>
  <si>
    <t xml:space="preserve">   7100-00 Council Meetings</t>
  </si>
  <si>
    <t xml:space="preserve">      7100-01 Council Meeting-MRS</t>
  </si>
  <si>
    <t xml:space="preserve">      7100-02 Council Meeting-BSBP</t>
  </si>
  <si>
    <t xml:space="preserve">      7100-99 Council Meeting-Unallocated</t>
  </si>
  <si>
    <t xml:space="preserve">   Total 7100-00 Council Meetings</t>
  </si>
  <si>
    <t xml:space="preserve">   7300-00 SPIL Support</t>
  </si>
  <si>
    <t xml:space="preserve">      7300-01 SPIL-MRS</t>
  </si>
  <si>
    <t xml:space="preserve">      7300-02 SPIL-BSBP</t>
  </si>
  <si>
    <t xml:space="preserve">      7300-99 SPIL-Unallocated</t>
  </si>
  <si>
    <t xml:space="preserve">   Total 7300-00 SPIL Support</t>
  </si>
  <si>
    <t xml:space="preserve">   7900-00 Miscellaneous</t>
  </si>
  <si>
    <t xml:space="preserve">      7900-01 Misc-MRS</t>
  </si>
  <si>
    <t xml:space="preserve">      7900-02 Misc-BSBP</t>
  </si>
  <si>
    <t xml:space="preserve">      7900-99 Misc-Unallocated</t>
  </si>
  <si>
    <t xml:space="preserve">   Total 7900-00 Miscellaneous</t>
  </si>
  <si>
    <t>Total Expenditures</t>
  </si>
  <si>
    <t>Net Operating Revenue</t>
  </si>
  <si>
    <t>Net Revenue</t>
  </si>
  <si>
    <t>Tuesday, Sep 07, 2021 05:13:34 AM GMT-7 - Accrual Basis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</si>
</sst>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0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0" fontId="2" fillId="0" borderId="2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30"/>
  <sheetViews>
    <sheetView tabSelected="1" workbookViewId="0">
      <selection sqref="A1:AW1"/>
    </sheetView>
  </sheetViews>
  <sheetFormatPr defaultRowHeight="15"/>
  <cols>
    <col min="1" max="1" width="40.42578125" customWidth="1"/>
    <col min="2" max="3" width="9.42578125" customWidth="1"/>
    <col min="4" max="4" width="11.140625" customWidth="1"/>
    <col min="5" max="5" width="7.7109375" customWidth="1"/>
    <col min="6" max="7" width="9.42578125" customWidth="1"/>
    <col min="8" max="8" width="11.140625" customWidth="1"/>
    <col min="9" max="9" width="7.7109375" customWidth="1"/>
    <col min="10" max="11" width="9.42578125" customWidth="1"/>
    <col min="12" max="12" width="10.28515625" customWidth="1"/>
    <col min="13" max="13" width="7.7109375" customWidth="1"/>
    <col min="14" max="15" width="9.42578125" customWidth="1"/>
    <col min="16" max="16" width="10.28515625" customWidth="1"/>
    <col min="17" max="19" width="9.42578125" customWidth="1"/>
    <col min="20" max="20" width="10.28515625" customWidth="1"/>
    <col min="21" max="21" width="7.7109375" customWidth="1"/>
    <col min="22" max="22" width="10.28515625" customWidth="1"/>
    <col min="23" max="23" width="9.42578125" customWidth="1"/>
    <col min="24" max="24" width="10.28515625" customWidth="1"/>
    <col min="25" max="27" width="9.42578125" customWidth="1"/>
    <col min="28" max="28" width="11.140625" customWidth="1"/>
    <col min="29" max="30" width="10.28515625" customWidth="1"/>
    <col min="31" max="31" width="9.42578125" customWidth="1"/>
    <col min="32" max="32" width="10.28515625" customWidth="1"/>
    <col min="33" max="33" width="7.7109375" customWidth="1"/>
    <col min="34" max="35" width="9.42578125" customWidth="1"/>
    <col min="36" max="36" width="10.28515625" customWidth="1"/>
    <col min="37" max="37" width="7.7109375" customWidth="1"/>
    <col min="38" max="39" width="9.42578125" customWidth="1"/>
    <col min="40" max="40" width="8.5703125" customWidth="1"/>
    <col min="41" max="43" width="9.42578125" customWidth="1"/>
    <col min="44" max="44" width="11.140625" customWidth="1"/>
    <col min="45" max="45" width="8.5703125" customWidth="1"/>
    <col min="46" max="47" width="10.28515625" customWidth="1"/>
    <col min="48" max="48" width="11.140625" customWidth="1"/>
    <col min="49" max="49" width="7.7109375" customWidth="1"/>
  </cols>
  <sheetData>
    <row r="1" spans="1:49" ht="18">
      <c r="A1" s="12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</row>
    <row r="2" spans="1:49" ht="18">
      <c r="A2" s="12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</row>
    <row r="3" spans="1:49">
      <c r="A3" s="13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</row>
    <row r="5" spans="1:49">
      <c r="A5" s="8"/>
      <c r="B5" s="9" t="s">
        <v>3</v>
      </c>
      <c r="C5" s="10"/>
      <c r="D5" s="10"/>
      <c r="E5" s="10"/>
      <c r="F5" s="9" t="s">
        <v>4</v>
      </c>
      <c r="G5" s="10"/>
      <c r="H5" s="10"/>
      <c r="I5" s="10"/>
      <c r="J5" s="9" t="s">
        <v>5</v>
      </c>
      <c r="K5" s="10"/>
      <c r="L5" s="10"/>
      <c r="M5" s="10"/>
      <c r="N5" s="9" t="s">
        <v>6</v>
      </c>
      <c r="O5" s="10"/>
      <c r="P5" s="10"/>
      <c r="Q5" s="10"/>
      <c r="R5" s="9" t="s">
        <v>7</v>
      </c>
      <c r="S5" s="10"/>
      <c r="T5" s="10"/>
      <c r="U5" s="10"/>
      <c r="V5" s="9" t="s">
        <v>8</v>
      </c>
      <c r="W5" s="10"/>
      <c r="X5" s="10"/>
      <c r="Y5" s="10"/>
      <c r="Z5" s="9" t="s">
        <v>9</v>
      </c>
      <c r="AA5" s="10"/>
      <c r="AB5" s="10"/>
      <c r="AC5" s="10"/>
      <c r="AD5" s="9" t="s">
        <v>10</v>
      </c>
      <c r="AE5" s="10"/>
      <c r="AF5" s="10"/>
      <c r="AG5" s="10"/>
      <c r="AH5" s="9" t="s">
        <v>11</v>
      </c>
      <c r="AI5" s="10"/>
      <c r="AJ5" s="10"/>
      <c r="AK5" s="10"/>
      <c r="AL5" s="9" t="s">
        <v>12</v>
      </c>
      <c r="AM5" s="10"/>
      <c r="AN5" s="10"/>
      <c r="AO5" s="10"/>
      <c r="AP5" s="9" t="s">
        <v>13</v>
      </c>
      <c r="AQ5" s="10"/>
      <c r="AR5" s="10"/>
      <c r="AS5" s="10"/>
      <c r="AT5" s="9" t="s">
        <v>14</v>
      </c>
      <c r="AU5" s="10"/>
      <c r="AV5" s="10"/>
      <c r="AW5" s="10"/>
    </row>
    <row r="6" spans="1:49" ht="24.75">
      <c r="A6" s="8"/>
      <c r="B6" s="7" t="s">
        <v>15</v>
      </c>
      <c r="C6" s="7" t="s">
        <v>16</v>
      </c>
      <c r="D6" s="7" t="s">
        <v>17</v>
      </c>
      <c r="E6" s="7" t="s">
        <v>18</v>
      </c>
      <c r="F6" s="7" t="s">
        <v>15</v>
      </c>
      <c r="G6" s="7" t="s">
        <v>16</v>
      </c>
      <c r="H6" s="7" t="s">
        <v>17</v>
      </c>
      <c r="I6" s="7" t="s">
        <v>18</v>
      </c>
      <c r="J6" s="7" t="s">
        <v>15</v>
      </c>
      <c r="K6" s="7" t="s">
        <v>16</v>
      </c>
      <c r="L6" s="7" t="s">
        <v>17</v>
      </c>
      <c r="M6" s="7" t="s">
        <v>18</v>
      </c>
      <c r="N6" s="7" t="s">
        <v>15</v>
      </c>
      <c r="O6" s="7" t="s">
        <v>16</v>
      </c>
      <c r="P6" s="7" t="s">
        <v>17</v>
      </c>
      <c r="Q6" s="7" t="s">
        <v>18</v>
      </c>
      <c r="R6" s="7" t="s">
        <v>15</v>
      </c>
      <c r="S6" s="7" t="s">
        <v>16</v>
      </c>
      <c r="T6" s="7" t="s">
        <v>17</v>
      </c>
      <c r="U6" s="7" t="s">
        <v>18</v>
      </c>
      <c r="V6" s="7" t="s">
        <v>15</v>
      </c>
      <c r="W6" s="7" t="s">
        <v>16</v>
      </c>
      <c r="X6" s="7" t="s">
        <v>17</v>
      </c>
      <c r="Y6" s="7" t="s">
        <v>18</v>
      </c>
      <c r="Z6" s="7" t="s">
        <v>15</v>
      </c>
      <c r="AA6" s="7" t="s">
        <v>16</v>
      </c>
      <c r="AB6" s="7" t="s">
        <v>17</v>
      </c>
      <c r="AC6" s="7" t="s">
        <v>18</v>
      </c>
      <c r="AD6" s="7" t="s">
        <v>15</v>
      </c>
      <c r="AE6" s="7" t="s">
        <v>16</v>
      </c>
      <c r="AF6" s="7" t="s">
        <v>17</v>
      </c>
      <c r="AG6" s="7" t="s">
        <v>18</v>
      </c>
      <c r="AH6" s="7" t="s">
        <v>15</v>
      </c>
      <c r="AI6" s="7" t="s">
        <v>16</v>
      </c>
      <c r="AJ6" s="7" t="s">
        <v>17</v>
      </c>
      <c r="AK6" s="7" t="s">
        <v>18</v>
      </c>
      <c r="AL6" s="7" t="s">
        <v>15</v>
      </c>
      <c r="AM6" s="7" t="s">
        <v>16</v>
      </c>
      <c r="AN6" s="7" t="s">
        <v>17</v>
      </c>
      <c r="AO6" s="7" t="s">
        <v>18</v>
      </c>
      <c r="AP6" s="7" t="s">
        <v>15</v>
      </c>
      <c r="AQ6" s="7" t="s">
        <v>16</v>
      </c>
      <c r="AR6" s="7" t="s">
        <v>17</v>
      </c>
      <c r="AS6" s="7" t="s">
        <v>18</v>
      </c>
      <c r="AT6" s="7" t="s">
        <v>15</v>
      </c>
      <c r="AU6" s="7" t="s">
        <v>16</v>
      </c>
      <c r="AV6" s="7" t="s">
        <v>17</v>
      </c>
      <c r="AW6" s="7" t="s">
        <v>18</v>
      </c>
    </row>
    <row r="7" spans="1:49">
      <c r="A7" s="1" t="s">
        <v>19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>
      <c r="A8" s="1" t="s">
        <v>20</v>
      </c>
      <c r="B8" s="3">
        <f>9179.36</f>
        <v>9179.36</v>
      </c>
      <c r="C8" s="3">
        <f>18971.29</f>
        <v>18971.29</v>
      </c>
      <c r="D8" s="3">
        <f>(B8)-(C8)</f>
        <v>-9791.93</v>
      </c>
      <c r="E8" s="4">
        <f>IF(C8=0,"",(B8)/(C8))</f>
        <v>0.48385534141326186</v>
      </c>
      <c r="F8" s="3">
        <f>11923.79</f>
        <v>11923.79</v>
      </c>
      <c r="G8" s="3">
        <f>18971.29</f>
        <v>18971.29</v>
      </c>
      <c r="H8" s="3">
        <f>(F8)-(G8)</f>
        <v>-7047.5</v>
      </c>
      <c r="I8" s="4">
        <f>IF(G8=0,"",(F8)/(G8))</f>
        <v>0.62851761793742023</v>
      </c>
      <c r="J8" s="3">
        <f>16669.37</f>
        <v>16669.37</v>
      </c>
      <c r="K8" s="3">
        <f>18971.29</f>
        <v>18971.29</v>
      </c>
      <c r="L8" s="3">
        <f>(J8)-(K8)</f>
        <v>-2301.9200000000019</v>
      </c>
      <c r="M8" s="4">
        <f>IF(K8=0,"",(J8)/(K8))</f>
        <v>0.87866296914969921</v>
      </c>
      <c r="N8" s="3">
        <f>17444.48</f>
        <v>17444.48</v>
      </c>
      <c r="O8" s="3">
        <f>18971.29</f>
        <v>18971.29</v>
      </c>
      <c r="P8" s="3">
        <f>(N8)-(O8)</f>
        <v>-1526.8100000000013</v>
      </c>
      <c r="Q8" s="4">
        <f>IF(O8=0,"",(N8)/(O8))</f>
        <v>0.91951996938531844</v>
      </c>
      <c r="R8" s="3">
        <f>12488.75</f>
        <v>12488.75</v>
      </c>
      <c r="S8" s="3">
        <f>18971.29</f>
        <v>18971.29</v>
      </c>
      <c r="T8" s="3">
        <f>(R8)-(S8)</f>
        <v>-6482.5400000000009</v>
      </c>
      <c r="U8" s="4">
        <f>IF(S8=0,"",(R8)/(S8))</f>
        <v>0.6582973535273563</v>
      </c>
      <c r="V8" s="3">
        <f>12542.75</f>
        <v>12542.75</v>
      </c>
      <c r="W8" s="3">
        <f>18971.29</f>
        <v>18971.29</v>
      </c>
      <c r="X8" s="3">
        <f>(V8)-(W8)</f>
        <v>-6428.5400000000009</v>
      </c>
      <c r="Y8" s="4">
        <f>IF(W8=0,"",(V8)/(W8))</f>
        <v>0.66114375986029417</v>
      </c>
      <c r="Z8" s="3">
        <f>10467.03</f>
        <v>10467.030000000001</v>
      </c>
      <c r="AA8" s="3">
        <f>18971.29</f>
        <v>18971.29</v>
      </c>
      <c r="AB8" s="3">
        <f>(Z8)-(AA8)</f>
        <v>-8504.26</v>
      </c>
      <c r="AC8" s="4">
        <f>IF(AA8=0,"",(Z8)/(AA8))</f>
        <v>0.55173000887129975</v>
      </c>
      <c r="AD8" s="3">
        <f>13380.29</f>
        <v>13380.29</v>
      </c>
      <c r="AE8" s="3">
        <f>18971.29</f>
        <v>18971.29</v>
      </c>
      <c r="AF8" s="3">
        <f>(AD8)-(AE8)</f>
        <v>-5591</v>
      </c>
      <c r="AG8" s="4">
        <f>IF(AE8=0,"",(AD8)/(AE8))</f>
        <v>0.70529152208415979</v>
      </c>
      <c r="AH8" s="3">
        <f>14669.54</f>
        <v>14669.54</v>
      </c>
      <c r="AI8" s="3">
        <f>18971.29</f>
        <v>18971.29</v>
      </c>
      <c r="AJ8" s="3">
        <f>(AH8)-(AI8)</f>
        <v>-4301.75</v>
      </c>
      <c r="AK8" s="4">
        <f>IF(AI8=0,"",(AH8)/(AI8))</f>
        <v>0.77324947328305038</v>
      </c>
      <c r="AL8" s="3">
        <f>23154.13</f>
        <v>23154.13</v>
      </c>
      <c r="AM8" s="3">
        <f>18971.29</f>
        <v>18971.29</v>
      </c>
      <c r="AN8" s="3">
        <f>(AL8)-(AM8)</f>
        <v>4182.84</v>
      </c>
      <c r="AO8" s="4">
        <f>IF(AM8=0,"",(AL8)/(AM8))</f>
        <v>1.2204826345493638</v>
      </c>
      <c r="AP8" s="3">
        <f>12746.8</f>
        <v>12746.8</v>
      </c>
      <c r="AQ8" s="3">
        <f>18971.29</f>
        <v>18971.29</v>
      </c>
      <c r="AR8" s="3">
        <f>(AP8)-(AQ8)</f>
        <v>-6224.4900000000016</v>
      </c>
      <c r="AS8" s="4">
        <f>IF(AQ8=0,"",(AP8)/(AQ8))</f>
        <v>0.67189948601281191</v>
      </c>
      <c r="AT8" s="3">
        <f t="shared" ref="AT8:AU12" si="0">((((((((((B8)+(F8))+(J8))+(N8))+(R8))+(V8))+(Z8))+(AD8))+(AH8))+(AL8))+(AP8)</f>
        <v>154666.29</v>
      </c>
      <c r="AU8" s="3">
        <f t="shared" si="0"/>
        <v>208684.19000000006</v>
      </c>
      <c r="AV8" s="3">
        <f>(AT8)-(AU8)</f>
        <v>-54017.900000000052</v>
      </c>
      <c r="AW8" s="4">
        <f>IF(AU8=0,"",(AT8)/(AU8))</f>
        <v>0.74115001237036671</v>
      </c>
    </row>
    <row r="9" spans="1:49">
      <c r="A9" s="1" t="s">
        <v>21</v>
      </c>
      <c r="B9" s="3">
        <f>4942.72</f>
        <v>4942.72</v>
      </c>
      <c r="C9" s="3">
        <f>10215.31</f>
        <v>10215.31</v>
      </c>
      <c r="D9" s="3">
        <f>(B9)-(C9)</f>
        <v>-5272.5899999999992</v>
      </c>
      <c r="E9" s="4">
        <f>IF(C9=0,"",(B9)/(C9))</f>
        <v>0.48385413658518445</v>
      </c>
      <c r="F9" s="3">
        <f>6210.51</f>
        <v>6210.51</v>
      </c>
      <c r="G9" s="3">
        <f>10215.31</f>
        <v>10215.31</v>
      </c>
      <c r="H9" s="3">
        <f>(F9)-(G9)</f>
        <v>-4004.7999999999993</v>
      </c>
      <c r="I9" s="4">
        <f>IF(G9=0,"",(F9)/(G9))</f>
        <v>0.60796099188375097</v>
      </c>
      <c r="J9" s="3">
        <f>8975.8</f>
        <v>8975.7999999999993</v>
      </c>
      <c r="K9" s="3">
        <f>10215.31</f>
        <v>10215.31</v>
      </c>
      <c r="L9" s="3">
        <f>(J9)-(K9)</f>
        <v>-1239.5100000000002</v>
      </c>
      <c r="M9" s="4">
        <f>IF(K9=0,"",(J9)/(K9))</f>
        <v>0.87866153841635741</v>
      </c>
      <c r="N9" s="3">
        <f>9393.18</f>
        <v>9393.18</v>
      </c>
      <c r="O9" s="3">
        <f>10215.31</f>
        <v>10215.31</v>
      </c>
      <c r="P9" s="3">
        <f>(N9)-(O9)</f>
        <v>-822.1299999999992</v>
      </c>
      <c r="Q9" s="4">
        <f>IF(O9=0,"",(N9)/(O9))</f>
        <v>0.919519818781809</v>
      </c>
      <c r="R9" s="3">
        <f>6724.73</f>
        <v>6724.73</v>
      </c>
      <c r="S9" s="3">
        <f>10215.31</f>
        <v>10215.31</v>
      </c>
      <c r="T9" s="3">
        <f>(R9)-(S9)</f>
        <v>-3490.58</v>
      </c>
      <c r="U9" s="4">
        <f>IF(S9=0,"",(R9)/(S9))</f>
        <v>0.65829916076947248</v>
      </c>
      <c r="V9" s="3">
        <f>6753.8</f>
        <v>6753.8</v>
      </c>
      <c r="W9" s="3">
        <f>10215.31</f>
        <v>10215.31</v>
      </c>
      <c r="X9" s="3">
        <f>(V9)-(W9)</f>
        <v>-3461.5099999999993</v>
      </c>
      <c r="Y9" s="4">
        <f>IF(W9=0,"",(V9)/(W9))</f>
        <v>0.66114488938661675</v>
      </c>
      <c r="Z9" s="3">
        <f>5636.1</f>
        <v>5636.1</v>
      </c>
      <c r="AA9" s="3">
        <f>10215.31</f>
        <v>10215.31</v>
      </c>
      <c r="AB9" s="3">
        <f>(Z9)-(AA9)</f>
        <v>-4579.2099999999991</v>
      </c>
      <c r="AC9" s="4">
        <f>IF(AA9=0,"",(Z9)/(AA9))</f>
        <v>0.55173068658709334</v>
      </c>
      <c r="AD9" s="3">
        <f>7204.79</f>
        <v>7204.79</v>
      </c>
      <c r="AE9" s="3">
        <f>10215.31</f>
        <v>10215.31</v>
      </c>
      <c r="AF9" s="3">
        <f>(AD9)-(AE9)</f>
        <v>-3010.5199999999995</v>
      </c>
      <c r="AG9" s="4">
        <f>IF(AE9=0,"",(AD9)/(AE9))</f>
        <v>0.70529332932627598</v>
      </c>
      <c r="AH9" s="3">
        <f>7989.97</f>
        <v>7989.97</v>
      </c>
      <c r="AI9" s="3">
        <f>10215.31</f>
        <v>10215.31</v>
      </c>
      <c r="AJ9" s="3">
        <f>(AH9)-(AI9)</f>
        <v>-2225.3399999999992</v>
      </c>
      <c r="AK9" s="4">
        <f>IF(AI9=0,"",(AH9)/(AI9))</f>
        <v>0.78215639075074572</v>
      </c>
      <c r="AL9" s="3">
        <f>12467.58</f>
        <v>12467.58</v>
      </c>
      <c r="AM9" s="3">
        <f>10215.31</f>
        <v>10215.31</v>
      </c>
      <c r="AN9" s="3">
        <f>(AL9)-(AM9)</f>
        <v>2252.2700000000004</v>
      </c>
      <c r="AO9" s="4">
        <f>IF(AM9=0,"",(AL9)/(AM9))</f>
        <v>1.2204798483844348</v>
      </c>
      <c r="AP9" s="3">
        <f>6863.67</f>
        <v>6863.67</v>
      </c>
      <c r="AQ9" s="3">
        <f>10215.31</f>
        <v>10215.31</v>
      </c>
      <c r="AR9" s="3">
        <f>(AP9)-(AQ9)</f>
        <v>-3351.6399999999994</v>
      </c>
      <c r="AS9" s="4">
        <f>IF(AQ9=0,"",(AP9)/(AQ9))</f>
        <v>0.67190031433211528</v>
      </c>
      <c r="AT9" s="3">
        <f t="shared" si="0"/>
        <v>83162.850000000006</v>
      </c>
      <c r="AU9" s="3">
        <f t="shared" si="0"/>
        <v>112368.40999999999</v>
      </c>
      <c r="AV9" s="3">
        <f>(AT9)-(AU9)</f>
        <v>-29205.559999999983</v>
      </c>
      <c r="AW9" s="4">
        <f>IF(AU9=0,"",(AT9)/(AU9))</f>
        <v>0.74009100956398699</v>
      </c>
    </row>
    <row r="10" spans="1:49">
      <c r="A10" s="1" t="s">
        <v>22</v>
      </c>
      <c r="B10" s="3">
        <f>9.75</f>
        <v>9.75</v>
      </c>
      <c r="C10" s="2"/>
      <c r="D10" s="3">
        <f>(B10)-(C10)</f>
        <v>9.75</v>
      </c>
      <c r="E10" s="4" t="str">
        <f>IF(C10=0,"",(B10)/(C10))</f>
        <v/>
      </c>
      <c r="F10" s="3">
        <f>6.58</f>
        <v>6.58</v>
      </c>
      <c r="G10" s="2"/>
      <c r="H10" s="3">
        <f>(F10)-(G10)</f>
        <v>6.58</v>
      </c>
      <c r="I10" s="4" t="str">
        <f>IF(G10=0,"",(F10)/(G10))</f>
        <v/>
      </c>
      <c r="J10" s="3">
        <f>8.01</f>
        <v>8.01</v>
      </c>
      <c r="K10" s="2"/>
      <c r="L10" s="3">
        <f>(J10)-(K10)</f>
        <v>8.01</v>
      </c>
      <c r="M10" s="4" t="str">
        <f>IF(K10=0,"",(J10)/(K10))</f>
        <v/>
      </c>
      <c r="N10" s="3">
        <f>4.78</f>
        <v>4.78</v>
      </c>
      <c r="O10" s="2"/>
      <c r="P10" s="3">
        <f>(N10)-(O10)</f>
        <v>4.78</v>
      </c>
      <c r="Q10" s="4" t="str">
        <f>IF(O10=0,"",(N10)/(O10))</f>
        <v/>
      </c>
      <c r="R10" s="3">
        <f>3.15</f>
        <v>3.15</v>
      </c>
      <c r="S10" s="2"/>
      <c r="T10" s="3">
        <f>(R10)-(S10)</f>
        <v>3.15</v>
      </c>
      <c r="U10" s="4" t="str">
        <f>IF(S10=0,"",(R10)/(S10))</f>
        <v/>
      </c>
      <c r="V10" s="3">
        <f>4.46</f>
        <v>4.46</v>
      </c>
      <c r="W10" s="2"/>
      <c r="X10" s="3">
        <f>(V10)-(W10)</f>
        <v>4.46</v>
      </c>
      <c r="Y10" s="4" t="str">
        <f>IF(W10=0,"",(V10)/(W10))</f>
        <v/>
      </c>
      <c r="Z10" s="3">
        <f>3.76</f>
        <v>3.76</v>
      </c>
      <c r="AA10" s="2"/>
      <c r="AB10" s="3">
        <f>(Z10)-(AA10)</f>
        <v>3.76</v>
      </c>
      <c r="AC10" s="4" t="str">
        <f>IF(AA10=0,"",(Z10)/(AA10))</f>
        <v/>
      </c>
      <c r="AD10" s="3">
        <f>3.74</f>
        <v>3.74</v>
      </c>
      <c r="AE10" s="2"/>
      <c r="AF10" s="3">
        <f>(AD10)-(AE10)</f>
        <v>3.74</v>
      </c>
      <c r="AG10" s="4" t="str">
        <f>IF(AE10=0,"",(AD10)/(AE10))</f>
        <v/>
      </c>
      <c r="AH10" s="3">
        <f>4.38</f>
        <v>4.38</v>
      </c>
      <c r="AI10" s="2"/>
      <c r="AJ10" s="3">
        <f>(AH10)-(AI10)</f>
        <v>4.38</v>
      </c>
      <c r="AK10" s="4" t="str">
        <f>IF(AI10=0,"",(AH10)/(AI10))</f>
        <v/>
      </c>
      <c r="AL10" s="3">
        <f>1.79</f>
        <v>1.79</v>
      </c>
      <c r="AM10" s="2"/>
      <c r="AN10" s="3">
        <f>(AL10)-(AM10)</f>
        <v>1.79</v>
      </c>
      <c r="AO10" s="4" t="str">
        <f>IF(AM10=0,"",(AL10)/(AM10))</f>
        <v/>
      </c>
      <c r="AP10" s="3">
        <f>2.67</f>
        <v>2.67</v>
      </c>
      <c r="AQ10" s="2"/>
      <c r="AR10" s="3">
        <f>(AP10)-(AQ10)</f>
        <v>2.67</v>
      </c>
      <c r="AS10" s="4" t="str">
        <f>IF(AQ10=0,"",(AP10)/(AQ10))</f>
        <v/>
      </c>
      <c r="AT10" s="3">
        <f t="shared" si="0"/>
        <v>53.07</v>
      </c>
      <c r="AU10" s="3">
        <f t="shared" si="0"/>
        <v>0</v>
      </c>
      <c r="AV10" s="3">
        <f>(AT10)-(AU10)</f>
        <v>53.07</v>
      </c>
      <c r="AW10" s="4" t="str">
        <f>IF(AU10=0,"",(AT10)/(AU10))</f>
        <v/>
      </c>
    </row>
    <row r="11" spans="1:49">
      <c r="A11" s="1" t="s">
        <v>23</v>
      </c>
      <c r="B11" s="5">
        <f>((B8)+(B9))+(B10)</f>
        <v>14131.830000000002</v>
      </c>
      <c r="C11" s="5">
        <f>((C8)+(C9))+(C10)</f>
        <v>29186.6</v>
      </c>
      <c r="D11" s="5">
        <f>(B11)-(C11)</f>
        <v>-15054.769999999997</v>
      </c>
      <c r="E11" s="6">
        <f>IF(C11=0,"",(B11)/(C11))</f>
        <v>0.48418897713334208</v>
      </c>
      <c r="F11" s="5">
        <f>((F8)+(F9))+(F10)</f>
        <v>18140.880000000005</v>
      </c>
      <c r="G11" s="5">
        <f>((G8)+(G9))+(G10)</f>
        <v>29186.6</v>
      </c>
      <c r="H11" s="5">
        <f>(F11)-(G11)</f>
        <v>-11045.719999999994</v>
      </c>
      <c r="I11" s="6">
        <f>IF(G11=0,"",(F11)/(G11))</f>
        <v>0.62154824474245052</v>
      </c>
      <c r="J11" s="5">
        <f>((J8)+(J9))+(J10)</f>
        <v>25653.179999999997</v>
      </c>
      <c r="K11" s="5">
        <f>((K8)+(K9))+(K10)</f>
        <v>29186.6</v>
      </c>
      <c r="L11" s="5">
        <f>(J11)-(K11)</f>
        <v>-3533.4200000000019</v>
      </c>
      <c r="M11" s="6">
        <f>IF(K11=0,"",(J11)/(K11))</f>
        <v>0.87893690940363034</v>
      </c>
      <c r="N11" s="5">
        <f>((N8)+(N9))+(N10)</f>
        <v>26842.44</v>
      </c>
      <c r="O11" s="5">
        <f>((O8)+(O9))+(O10)</f>
        <v>29186.6</v>
      </c>
      <c r="P11" s="5">
        <f>(N11)-(O11)</f>
        <v>-2344.16</v>
      </c>
      <c r="Q11" s="6">
        <f>IF(O11=0,"",(N11)/(O11))</f>
        <v>0.91968369046069087</v>
      </c>
      <c r="R11" s="5">
        <f>((R8)+(R9))+(R10)</f>
        <v>19216.63</v>
      </c>
      <c r="S11" s="5">
        <f>((S8)+(S9))+(S10)</f>
        <v>29186.6</v>
      </c>
      <c r="T11" s="5">
        <f>(R11)-(S11)</f>
        <v>-9969.9699999999975</v>
      </c>
      <c r="U11" s="6">
        <f>IF(S11=0,"",(R11)/(S11))</f>
        <v>0.6584059123022209</v>
      </c>
      <c r="V11" s="5">
        <f>((V8)+(V9))+(V10)</f>
        <v>19301.009999999998</v>
      </c>
      <c r="W11" s="5">
        <f>((W8)+(W9))+(W10)</f>
        <v>29186.6</v>
      </c>
      <c r="X11" s="5">
        <f>(V11)-(W11)</f>
        <v>-9885.59</v>
      </c>
      <c r="Y11" s="6">
        <f>IF(W11=0,"",(V11)/(W11))</f>
        <v>0.66129696504560309</v>
      </c>
      <c r="Z11" s="5">
        <f>((Z8)+(Z9))+(Z10)</f>
        <v>16106.890000000001</v>
      </c>
      <c r="AA11" s="5">
        <f>((AA8)+(AA9))+(AA10)</f>
        <v>29186.6</v>
      </c>
      <c r="AB11" s="5">
        <f>(Z11)-(AA11)</f>
        <v>-13079.709999999997</v>
      </c>
      <c r="AC11" s="6">
        <f>IF(AA11=0,"",(Z11)/(AA11))</f>
        <v>0.55185907231400722</v>
      </c>
      <c r="AD11" s="5">
        <f>((AD8)+(AD9))+(AD10)</f>
        <v>20588.820000000003</v>
      </c>
      <c r="AE11" s="5">
        <f>((AE8)+(AE9))+(AE10)</f>
        <v>29186.6</v>
      </c>
      <c r="AF11" s="5">
        <f>(AD11)-(AE11)</f>
        <v>-8597.7799999999952</v>
      </c>
      <c r="AG11" s="6">
        <f>IF(AE11=0,"",(AD11)/(AE11))</f>
        <v>0.70542029561511121</v>
      </c>
      <c r="AH11" s="5">
        <f>((AH8)+(AH9))+(AH10)</f>
        <v>22663.890000000003</v>
      </c>
      <c r="AI11" s="5">
        <f>((AI8)+(AI9))+(AI10)</f>
        <v>29186.6</v>
      </c>
      <c r="AJ11" s="5">
        <f>(AH11)-(AI11)</f>
        <v>-6522.7099999999955</v>
      </c>
      <c r="AK11" s="6">
        <f>IF(AI11=0,"",(AH11)/(AI11))</f>
        <v>0.77651696326396369</v>
      </c>
      <c r="AL11" s="5">
        <f>((AL8)+(AL9))+(AL10)</f>
        <v>35623.5</v>
      </c>
      <c r="AM11" s="5">
        <f>((AM8)+(AM9))+(AM10)</f>
        <v>29186.6</v>
      </c>
      <c r="AN11" s="5">
        <f>(AL11)-(AM11)</f>
        <v>6436.9000000000015</v>
      </c>
      <c r="AO11" s="6">
        <f>IF(AM11=0,"",(AL11)/(AM11))</f>
        <v>1.2205429889058679</v>
      </c>
      <c r="AP11" s="5">
        <f>((AP8)+(AP9))+(AP10)</f>
        <v>19613.14</v>
      </c>
      <c r="AQ11" s="5">
        <f>((AQ8)+(AQ9))+(AQ10)</f>
        <v>29186.6</v>
      </c>
      <c r="AR11" s="5">
        <f>(AP11)-(AQ11)</f>
        <v>-9573.4599999999991</v>
      </c>
      <c r="AS11" s="6">
        <f>IF(AQ11=0,"",(AP11)/(AQ11))</f>
        <v>0.67199125626143508</v>
      </c>
      <c r="AT11" s="5">
        <f t="shared" si="0"/>
        <v>237882.21000000002</v>
      </c>
      <c r="AU11" s="5">
        <f t="shared" si="0"/>
        <v>321052.59999999998</v>
      </c>
      <c r="AV11" s="5">
        <f>(AT11)-(AU11)</f>
        <v>-83170.389999999956</v>
      </c>
      <c r="AW11" s="6">
        <f>IF(AU11=0,"",(AT11)/(AU11))</f>
        <v>0.74094466140439308</v>
      </c>
    </row>
    <row r="12" spans="1:49">
      <c r="A12" s="1" t="s">
        <v>24</v>
      </c>
      <c r="B12" s="5">
        <f>(B11)-(0)</f>
        <v>14131.830000000002</v>
      </c>
      <c r="C12" s="5">
        <f>(C11)-(0)</f>
        <v>29186.6</v>
      </c>
      <c r="D12" s="5">
        <f>(B12)-(C12)</f>
        <v>-15054.769999999997</v>
      </c>
      <c r="E12" s="6">
        <f>IF(C12=0,"",(B12)/(C12))</f>
        <v>0.48418897713334208</v>
      </c>
      <c r="F12" s="5">
        <f>(F11)-(0)</f>
        <v>18140.880000000005</v>
      </c>
      <c r="G12" s="5">
        <f>(G11)-(0)</f>
        <v>29186.6</v>
      </c>
      <c r="H12" s="5">
        <f>(F12)-(G12)</f>
        <v>-11045.719999999994</v>
      </c>
      <c r="I12" s="6">
        <f>IF(G12=0,"",(F12)/(G12))</f>
        <v>0.62154824474245052</v>
      </c>
      <c r="J12" s="5">
        <f>(J11)-(0)</f>
        <v>25653.179999999997</v>
      </c>
      <c r="K12" s="5">
        <f>(K11)-(0)</f>
        <v>29186.6</v>
      </c>
      <c r="L12" s="5">
        <f>(J12)-(K12)</f>
        <v>-3533.4200000000019</v>
      </c>
      <c r="M12" s="6">
        <f>IF(K12=0,"",(J12)/(K12))</f>
        <v>0.87893690940363034</v>
      </c>
      <c r="N12" s="5">
        <f>(N11)-(0)</f>
        <v>26842.44</v>
      </c>
      <c r="O12" s="5">
        <f>(O11)-(0)</f>
        <v>29186.6</v>
      </c>
      <c r="P12" s="5">
        <f>(N12)-(O12)</f>
        <v>-2344.16</v>
      </c>
      <c r="Q12" s="6">
        <f>IF(O12=0,"",(N12)/(O12))</f>
        <v>0.91968369046069087</v>
      </c>
      <c r="R12" s="5">
        <f>(R11)-(0)</f>
        <v>19216.63</v>
      </c>
      <c r="S12" s="5">
        <f>(S11)-(0)</f>
        <v>29186.6</v>
      </c>
      <c r="T12" s="5">
        <f>(R12)-(S12)</f>
        <v>-9969.9699999999975</v>
      </c>
      <c r="U12" s="6">
        <f>IF(S12=0,"",(R12)/(S12))</f>
        <v>0.6584059123022209</v>
      </c>
      <c r="V12" s="5">
        <f>(V11)-(0)</f>
        <v>19301.009999999998</v>
      </c>
      <c r="W12" s="5">
        <f>(W11)-(0)</f>
        <v>29186.6</v>
      </c>
      <c r="X12" s="5">
        <f>(V12)-(W12)</f>
        <v>-9885.59</v>
      </c>
      <c r="Y12" s="6">
        <f>IF(W12=0,"",(V12)/(W12))</f>
        <v>0.66129696504560309</v>
      </c>
      <c r="Z12" s="5">
        <f>(Z11)-(0)</f>
        <v>16106.890000000001</v>
      </c>
      <c r="AA12" s="5">
        <f>(AA11)-(0)</f>
        <v>29186.6</v>
      </c>
      <c r="AB12" s="5">
        <f>(Z12)-(AA12)</f>
        <v>-13079.709999999997</v>
      </c>
      <c r="AC12" s="6">
        <f>IF(AA12=0,"",(Z12)/(AA12))</f>
        <v>0.55185907231400722</v>
      </c>
      <c r="AD12" s="5">
        <f>(AD11)-(0)</f>
        <v>20588.820000000003</v>
      </c>
      <c r="AE12" s="5">
        <f>(AE11)-(0)</f>
        <v>29186.6</v>
      </c>
      <c r="AF12" s="5">
        <f>(AD12)-(AE12)</f>
        <v>-8597.7799999999952</v>
      </c>
      <c r="AG12" s="6">
        <f>IF(AE12=0,"",(AD12)/(AE12))</f>
        <v>0.70542029561511121</v>
      </c>
      <c r="AH12" s="5">
        <f>(AH11)-(0)</f>
        <v>22663.890000000003</v>
      </c>
      <c r="AI12" s="5">
        <f>(AI11)-(0)</f>
        <v>29186.6</v>
      </c>
      <c r="AJ12" s="5">
        <f>(AH12)-(AI12)</f>
        <v>-6522.7099999999955</v>
      </c>
      <c r="AK12" s="6">
        <f>IF(AI12=0,"",(AH12)/(AI12))</f>
        <v>0.77651696326396369</v>
      </c>
      <c r="AL12" s="5">
        <f>(AL11)-(0)</f>
        <v>35623.5</v>
      </c>
      <c r="AM12" s="5">
        <f>(AM11)-(0)</f>
        <v>29186.6</v>
      </c>
      <c r="AN12" s="5">
        <f>(AL12)-(AM12)</f>
        <v>6436.9000000000015</v>
      </c>
      <c r="AO12" s="6">
        <f>IF(AM12=0,"",(AL12)/(AM12))</f>
        <v>1.2205429889058679</v>
      </c>
      <c r="AP12" s="5">
        <f>(AP11)-(0)</f>
        <v>19613.14</v>
      </c>
      <c r="AQ12" s="5">
        <f>(AQ11)-(0)</f>
        <v>29186.6</v>
      </c>
      <c r="AR12" s="5">
        <f>(AP12)-(AQ12)</f>
        <v>-9573.4599999999991</v>
      </c>
      <c r="AS12" s="6">
        <f>IF(AQ12=0,"",(AP12)/(AQ12))</f>
        <v>0.67199125626143508</v>
      </c>
      <c r="AT12" s="5">
        <f t="shared" si="0"/>
        <v>237882.21000000002</v>
      </c>
      <c r="AU12" s="5">
        <f t="shared" si="0"/>
        <v>321052.59999999998</v>
      </c>
      <c r="AV12" s="5">
        <f>(AT12)-(AU12)</f>
        <v>-83170.389999999956</v>
      </c>
      <c r="AW12" s="6">
        <f>IF(AU12=0,"",(AT12)/(AU12))</f>
        <v>0.74094466140439308</v>
      </c>
    </row>
    <row r="13" spans="1:49">
      <c r="A13" s="1" t="s">
        <v>25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>
      <c r="A14" s="1" t="s">
        <v>26</v>
      </c>
      <c r="B14" s="2"/>
      <c r="C14" s="2"/>
      <c r="D14" s="3">
        <f t="shared" ref="D14:D45" si="1">(B14)-(C14)</f>
        <v>0</v>
      </c>
      <c r="E14" s="4" t="str">
        <f t="shared" ref="E14:E45" si="2">IF(C14=0,"",(B14)/(C14))</f>
        <v/>
      </c>
      <c r="F14" s="2"/>
      <c r="G14" s="2"/>
      <c r="H14" s="3">
        <f t="shared" ref="H14:H45" si="3">(F14)-(G14)</f>
        <v>0</v>
      </c>
      <c r="I14" s="4" t="str">
        <f t="shared" ref="I14:I45" si="4">IF(G14=0,"",(F14)/(G14))</f>
        <v/>
      </c>
      <c r="J14" s="2"/>
      <c r="K14" s="2"/>
      <c r="L14" s="3">
        <f t="shared" ref="L14:L45" si="5">(J14)-(K14)</f>
        <v>0</v>
      </c>
      <c r="M14" s="4" t="str">
        <f t="shared" ref="M14:M45" si="6">IF(K14=0,"",(J14)/(K14))</f>
        <v/>
      </c>
      <c r="N14" s="2"/>
      <c r="O14" s="2"/>
      <c r="P14" s="3">
        <f t="shared" ref="P14:P45" si="7">(N14)-(O14)</f>
        <v>0</v>
      </c>
      <c r="Q14" s="4" t="str">
        <f t="shared" ref="Q14:Q45" si="8">IF(O14=0,"",(N14)/(O14))</f>
        <v/>
      </c>
      <c r="R14" s="2"/>
      <c r="S14" s="2"/>
      <c r="T14" s="3">
        <f t="shared" ref="T14:T45" si="9">(R14)-(S14)</f>
        <v>0</v>
      </c>
      <c r="U14" s="4" t="str">
        <f t="shared" ref="U14:U45" si="10">IF(S14=0,"",(R14)/(S14))</f>
        <v/>
      </c>
      <c r="V14" s="2"/>
      <c r="W14" s="2"/>
      <c r="X14" s="3">
        <f t="shared" ref="X14:X45" si="11">(V14)-(W14)</f>
        <v>0</v>
      </c>
      <c r="Y14" s="4" t="str">
        <f t="shared" ref="Y14:Y45" si="12">IF(W14=0,"",(V14)/(W14))</f>
        <v/>
      </c>
      <c r="Z14" s="2"/>
      <c r="AA14" s="2"/>
      <c r="AB14" s="3">
        <f t="shared" ref="AB14:AB45" si="13">(Z14)-(AA14)</f>
        <v>0</v>
      </c>
      <c r="AC14" s="4" t="str">
        <f t="shared" ref="AC14:AC45" si="14">IF(AA14=0,"",(Z14)/(AA14))</f>
        <v/>
      </c>
      <c r="AD14" s="2"/>
      <c r="AE14" s="2"/>
      <c r="AF14" s="3">
        <f t="shared" ref="AF14:AF45" si="15">(AD14)-(AE14)</f>
        <v>0</v>
      </c>
      <c r="AG14" s="4" t="str">
        <f t="shared" ref="AG14:AG45" si="16">IF(AE14=0,"",(AD14)/(AE14))</f>
        <v/>
      </c>
      <c r="AH14" s="2"/>
      <c r="AI14" s="2"/>
      <c r="AJ14" s="3">
        <f t="shared" ref="AJ14:AJ45" si="17">(AH14)-(AI14)</f>
        <v>0</v>
      </c>
      <c r="AK14" s="4" t="str">
        <f t="shared" ref="AK14:AK45" si="18">IF(AI14=0,"",(AH14)/(AI14))</f>
        <v/>
      </c>
      <c r="AL14" s="2"/>
      <c r="AM14" s="2"/>
      <c r="AN14" s="3">
        <f t="shared" ref="AN14:AN45" si="19">(AL14)-(AM14)</f>
        <v>0</v>
      </c>
      <c r="AO14" s="4" t="str">
        <f t="shared" ref="AO14:AO45" si="20">IF(AM14=0,"",(AL14)/(AM14))</f>
        <v/>
      </c>
      <c r="AP14" s="2"/>
      <c r="AQ14" s="2"/>
      <c r="AR14" s="3">
        <f t="shared" ref="AR14:AR45" si="21">(AP14)-(AQ14)</f>
        <v>0</v>
      </c>
      <c r="AS14" s="4" t="str">
        <f t="shared" ref="AS14:AS45" si="22">IF(AQ14=0,"",(AP14)/(AQ14))</f>
        <v/>
      </c>
      <c r="AT14" s="3">
        <f t="shared" ref="AT14:AT45" si="23">((((((((((B14)+(F14))+(J14))+(N14))+(R14))+(V14))+(Z14))+(AD14))+(AH14))+(AL14))+(AP14)</f>
        <v>0</v>
      </c>
      <c r="AU14" s="3">
        <f t="shared" ref="AU14:AU45" si="24">((((((((((C14)+(G14))+(K14))+(O14))+(S14))+(W14))+(AA14))+(AE14))+(AI14))+(AM14))+(AQ14)</f>
        <v>0</v>
      </c>
      <c r="AV14" s="3">
        <f t="shared" ref="AV14:AV45" si="25">(AT14)-(AU14)</f>
        <v>0</v>
      </c>
      <c r="AW14" s="4" t="str">
        <f t="shared" ref="AW14:AW45" si="26">IF(AU14=0,"",(AT14)/(AU14))</f>
        <v/>
      </c>
    </row>
    <row r="15" spans="1:49">
      <c r="A15" s="1" t="s">
        <v>27</v>
      </c>
      <c r="B15" s="3">
        <f>4225.73</f>
        <v>4225.7299999999996</v>
      </c>
      <c r="C15" s="3">
        <f>7691.78</f>
        <v>7691.78</v>
      </c>
      <c r="D15" s="3">
        <f t="shared" si="1"/>
        <v>-3466.05</v>
      </c>
      <c r="E15" s="4">
        <f t="shared" si="2"/>
        <v>0.5493825876455124</v>
      </c>
      <c r="F15" s="3">
        <f>7042.88</f>
        <v>7042.88</v>
      </c>
      <c r="G15" s="3">
        <f>7691.78</f>
        <v>7691.78</v>
      </c>
      <c r="H15" s="3">
        <f t="shared" si="3"/>
        <v>-648.89999999999964</v>
      </c>
      <c r="I15" s="4">
        <f t="shared" si="4"/>
        <v>0.91563721271279219</v>
      </c>
      <c r="J15" s="3">
        <f>10564.32</f>
        <v>10564.32</v>
      </c>
      <c r="K15" s="3">
        <f>7691.78</f>
        <v>7691.78</v>
      </c>
      <c r="L15" s="3">
        <f t="shared" si="5"/>
        <v>2872.54</v>
      </c>
      <c r="M15" s="4">
        <f t="shared" si="6"/>
        <v>1.3734558190691881</v>
      </c>
      <c r="N15" s="3">
        <f>7042.88</f>
        <v>7042.88</v>
      </c>
      <c r="O15" s="3">
        <f>7691.78</f>
        <v>7691.78</v>
      </c>
      <c r="P15" s="3">
        <f t="shared" si="7"/>
        <v>-648.89999999999964</v>
      </c>
      <c r="Q15" s="4">
        <f t="shared" si="8"/>
        <v>0.91563721271279219</v>
      </c>
      <c r="R15" s="3">
        <f>7042.88</f>
        <v>7042.88</v>
      </c>
      <c r="S15" s="3">
        <f>7691.78</f>
        <v>7691.78</v>
      </c>
      <c r="T15" s="3">
        <f t="shared" si="9"/>
        <v>-648.89999999999964</v>
      </c>
      <c r="U15" s="4">
        <f t="shared" si="10"/>
        <v>0.91563721271279219</v>
      </c>
      <c r="V15" s="3">
        <f>7042.88</f>
        <v>7042.88</v>
      </c>
      <c r="W15" s="3">
        <f>7691.78</f>
        <v>7691.78</v>
      </c>
      <c r="X15" s="3">
        <f t="shared" si="11"/>
        <v>-648.89999999999964</v>
      </c>
      <c r="Y15" s="4">
        <f t="shared" si="12"/>
        <v>0.91563721271279219</v>
      </c>
      <c r="Z15" s="3">
        <f>7042.88</f>
        <v>7042.88</v>
      </c>
      <c r="AA15" s="3">
        <f>7691.78</f>
        <v>7691.78</v>
      </c>
      <c r="AB15" s="3">
        <f t="shared" si="13"/>
        <v>-648.89999999999964</v>
      </c>
      <c r="AC15" s="4">
        <f t="shared" si="14"/>
        <v>0.91563721271279219</v>
      </c>
      <c r="AD15" s="3">
        <f>7043.78</f>
        <v>7043.78</v>
      </c>
      <c r="AE15" s="3">
        <f>7691.78</f>
        <v>7691.78</v>
      </c>
      <c r="AF15" s="3">
        <f t="shared" si="15"/>
        <v>-648</v>
      </c>
      <c r="AG15" s="4">
        <f t="shared" si="16"/>
        <v>0.91575422073954271</v>
      </c>
      <c r="AH15" s="3">
        <f>7042.88</f>
        <v>7042.88</v>
      </c>
      <c r="AI15" s="3">
        <f>7691.78</f>
        <v>7691.78</v>
      </c>
      <c r="AJ15" s="3">
        <f t="shared" si="17"/>
        <v>-648.89999999999964</v>
      </c>
      <c r="AK15" s="4">
        <f t="shared" si="18"/>
        <v>0.91563721271279219</v>
      </c>
      <c r="AL15" s="3">
        <f>10564.32</f>
        <v>10564.32</v>
      </c>
      <c r="AM15" s="3">
        <f>7691.78</f>
        <v>7691.78</v>
      </c>
      <c r="AN15" s="3">
        <f t="shared" si="19"/>
        <v>2872.54</v>
      </c>
      <c r="AO15" s="4">
        <f t="shared" si="20"/>
        <v>1.3734558190691881</v>
      </c>
      <c r="AP15" s="3">
        <f>7042.88</f>
        <v>7042.88</v>
      </c>
      <c r="AQ15" s="3">
        <f>7691.78</f>
        <v>7691.78</v>
      </c>
      <c r="AR15" s="3">
        <f t="shared" si="21"/>
        <v>-648.89999999999964</v>
      </c>
      <c r="AS15" s="4">
        <f t="shared" si="22"/>
        <v>0.91563721271279219</v>
      </c>
      <c r="AT15" s="3">
        <f t="shared" si="23"/>
        <v>81698.31</v>
      </c>
      <c r="AU15" s="3">
        <f t="shared" si="24"/>
        <v>84609.58</v>
      </c>
      <c r="AV15" s="3">
        <f t="shared" si="25"/>
        <v>-2911.2700000000041</v>
      </c>
      <c r="AW15" s="4">
        <f t="shared" si="26"/>
        <v>0.9655917214102705</v>
      </c>
    </row>
    <row r="16" spans="1:49">
      <c r="A16" s="1" t="s">
        <v>28</v>
      </c>
      <c r="B16" s="3">
        <f>2275.39</f>
        <v>2275.39</v>
      </c>
      <c r="C16" s="3">
        <f>4141.73</f>
        <v>4141.7299999999996</v>
      </c>
      <c r="D16" s="3">
        <f t="shared" si="1"/>
        <v>-1866.3399999999997</v>
      </c>
      <c r="E16" s="4">
        <f t="shared" si="2"/>
        <v>0.54938153863240724</v>
      </c>
      <c r="F16" s="3">
        <f>3792.32</f>
        <v>3792.32</v>
      </c>
      <c r="G16" s="3">
        <f>4141.73</f>
        <v>4141.7299999999996</v>
      </c>
      <c r="H16" s="3">
        <f t="shared" si="3"/>
        <v>-349.4099999999994</v>
      </c>
      <c r="I16" s="4">
        <f t="shared" si="4"/>
        <v>0.91563670253734564</v>
      </c>
      <c r="J16" s="3">
        <f>5688.48</f>
        <v>5688.48</v>
      </c>
      <c r="K16" s="3">
        <f>4141.73</f>
        <v>4141.7299999999996</v>
      </c>
      <c r="L16" s="3">
        <f t="shared" si="5"/>
        <v>1546.75</v>
      </c>
      <c r="M16" s="4">
        <f t="shared" si="6"/>
        <v>1.3734550538060184</v>
      </c>
      <c r="N16" s="3">
        <f>3792.32</f>
        <v>3792.32</v>
      </c>
      <c r="O16" s="3">
        <f>4141.73</f>
        <v>4141.7299999999996</v>
      </c>
      <c r="P16" s="3">
        <f t="shared" si="7"/>
        <v>-349.4099999999994</v>
      </c>
      <c r="Q16" s="4">
        <f t="shared" si="8"/>
        <v>0.91563670253734564</v>
      </c>
      <c r="R16" s="3">
        <f>3792.32</f>
        <v>3792.32</v>
      </c>
      <c r="S16" s="3">
        <f>4141.73</f>
        <v>4141.7299999999996</v>
      </c>
      <c r="T16" s="3">
        <f t="shared" si="9"/>
        <v>-349.4099999999994</v>
      </c>
      <c r="U16" s="4">
        <f t="shared" si="10"/>
        <v>0.91563670253734564</v>
      </c>
      <c r="V16" s="3">
        <f>3792.32</f>
        <v>3792.32</v>
      </c>
      <c r="W16" s="3">
        <f>4141.73</f>
        <v>4141.7299999999996</v>
      </c>
      <c r="X16" s="3">
        <f t="shared" si="11"/>
        <v>-349.4099999999994</v>
      </c>
      <c r="Y16" s="4">
        <f t="shared" si="12"/>
        <v>0.91563670253734564</v>
      </c>
      <c r="Z16" s="3">
        <f>3792.32</f>
        <v>3792.32</v>
      </c>
      <c r="AA16" s="3">
        <f>4141.73</f>
        <v>4141.7299999999996</v>
      </c>
      <c r="AB16" s="3">
        <f t="shared" si="13"/>
        <v>-349.4099999999994</v>
      </c>
      <c r="AC16" s="4">
        <f t="shared" si="14"/>
        <v>0.91563670253734564</v>
      </c>
      <c r="AD16" s="3">
        <f>3792.32</f>
        <v>3792.32</v>
      </c>
      <c r="AE16" s="3">
        <f>4141.73</f>
        <v>4141.7299999999996</v>
      </c>
      <c r="AF16" s="3">
        <f t="shared" si="15"/>
        <v>-349.4099999999994</v>
      </c>
      <c r="AG16" s="4">
        <f t="shared" si="16"/>
        <v>0.91563670253734564</v>
      </c>
      <c r="AH16" s="3">
        <f>3792.32</f>
        <v>3792.32</v>
      </c>
      <c r="AI16" s="3">
        <f>4141.73</f>
        <v>4141.7299999999996</v>
      </c>
      <c r="AJ16" s="3">
        <f t="shared" si="17"/>
        <v>-349.4099999999994</v>
      </c>
      <c r="AK16" s="4">
        <f t="shared" si="18"/>
        <v>0.91563670253734564</v>
      </c>
      <c r="AL16" s="3">
        <f>5688.48</f>
        <v>5688.48</v>
      </c>
      <c r="AM16" s="3">
        <f>4141.73</f>
        <v>4141.7299999999996</v>
      </c>
      <c r="AN16" s="3">
        <f t="shared" si="19"/>
        <v>1546.75</v>
      </c>
      <c r="AO16" s="4">
        <f t="shared" si="20"/>
        <v>1.3734550538060184</v>
      </c>
      <c r="AP16" s="3">
        <f>3792.32</f>
        <v>3792.32</v>
      </c>
      <c r="AQ16" s="3">
        <f>4141.73</f>
        <v>4141.7299999999996</v>
      </c>
      <c r="AR16" s="3">
        <f t="shared" si="21"/>
        <v>-349.4099999999994</v>
      </c>
      <c r="AS16" s="4">
        <f t="shared" si="22"/>
        <v>0.91563670253734564</v>
      </c>
      <c r="AT16" s="3">
        <f t="shared" si="23"/>
        <v>43990.909999999996</v>
      </c>
      <c r="AU16" s="3">
        <f t="shared" si="24"/>
        <v>45559.029999999984</v>
      </c>
      <c r="AV16" s="3">
        <f t="shared" si="25"/>
        <v>-1568.1199999999881</v>
      </c>
      <c r="AW16" s="4">
        <f t="shared" si="26"/>
        <v>0.96558047877665554</v>
      </c>
    </row>
    <row r="17" spans="1:49">
      <c r="A17" s="1" t="s">
        <v>29</v>
      </c>
      <c r="B17" s="3">
        <f>0</f>
        <v>0</v>
      </c>
      <c r="C17" s="2"/>
      <c r="D17" s="3">
        <f t="shared" si="1"/>
        <v>0</v>
      </c>
      <c r="E17" s="4" t="str">
        <f t="shared" si="2"/>
        <v/>
      </c>
      <c r="F17" s="3">
        <f>0</f>
        <v>0</v>
      </c>
      <c r="G17" s="2"/>
      <c r="H17" s="3">
        <f t="shared" si="3"/>
        <v>0</v>
      </c>
      <c r="I17" s="4" t="str">
        <f t="shared" si="4"/>
        <v/>
      </c>
      <c r="J17" s="3">
        <f>0</f>
        <v>0</v>
      </c>
      <c r="K17" s="2"/>
      <c r="L17" s="3">
        <f t="shared" si="5"/>
        <v>0</v>
      </c>
      <c r="M17" s="4" t="str">
        <f t="shared" si="6"/>
        <v/>
      </c>
      <c r="N17" s="3">
        <f>0</f>
        <v>0</v>
      </c>
      <c r="O17" s="2"/>
      <c r="P17" s="3">
        <f t="shared" si="7"/>
        <v>0</v>
      </c>
      <c r="Q17" s="4" t="str">
        <f t="shared" si="8"/>
        <v/>
      </c>
      <c r="R17" s="3">
        <f>0</f>
        <v>0</v>
      </c>
      <c r="S17" s="2"/>
      <c r="T17" s="3">
        <f t="shared" si="9"/>
        <v>0</v>
      </c>
      <c r="U17" s="4" t="str">
        <f t="shared" si="10"/>
        <v/>
      </c>
      <c r="V17" s="3">
        <f>0</f>
        <v>0</v>
      </c>
      <c r="W17" s="2"/>
      <c r="X17" s="3">
        <f t="shared" si="11"/>
        <v>0</v>
      </c>
      <c r="Y17" s="4" t="str">
        <f t="shared" si="12"/>
        <v/>
      </c>
      <c r="Z17" s="3">
        <f>0</f>
        <v>0</v>
      </c>
      <c r="AA17" s="2"/>
      <c r="AB17" s="3">
        <f t="shared" si="13"/>
        <v>0</v>
      </c>
      <c r="AC17" s="4" t="str">
        <f t="shared" si="14"/>
        <v/>
      </c>
      <c r="AD17" s="3">
        <f>0</f>
        <v>0</v>
      </c>
      <c r="AE17" s="2"/>
      <c r="AF17" s="3">
        <f t="shared" si="15"/>
        <v>0</v>
      </c>
      <c r="AG17" s="4" t="str">
        <f t="shared" si="16"/>
        <v/>
      </c>
      <c r="AH17" s="3">
        <f>0</f>
        <v>0</v>
      </c>
      <c r="AI17" s="2"/>
      <c r="AJ17" s="3">
        <f t="shared" si="17"/>
        <v>0</v>
      </c>
      <c r="AK17" s="4" t="str">
        <f t="shared" si="18"/>
        <v/>
      </c>
      <c r="AL17" s="3">
        <f>0</f>
        <v>0</v>
      </c>
      <c r="AM17" s="2"/>
      <c r="AN17" s="3">
        <f t="shared" si="19"/>
        <v>0</v>
      </c>
      <c r="AO17" s="4" t="str">
        <f t="shared" si="20"/>
        <v/>
      </c>
      <c r="AP17" s="3">
        <f>0</f>
        <v>0</v>
      </c>
      <c r="AQ17" s="2"/>
      <c r="AR17" s="3">
        <f t="shared" si="21"/>
        <v>0</v>
      </c>
      <c r="AS17" s="4" t="str">
        <f t="shared" si="22"/>
        <v/>
      </c>
      <c r="AT17" s="3">
        <f t="shared" si="23"/>
        <v>0</v>
      </c>
      <c r="AU17" s="3">
        <f t="shared" si="24"/>
        <v>0</v>
      </c>
      <c r="AV17" s="3">
        <f t="shared" si="25"/>
        <v>0</v>
      </c>
      <c r="AW17" s="4" t="str">
        <f t="shared" si="26"/>
        <v/>
      </c>
    </row>
    <row r="18" spans="1:49">
      <c r="A18" s="1" t="s">
        <v>30</v>
      </c>
      <c r="B18" s="5">
        <f>(((B14)+(B15))+(B16))+(B17)</f>
        <v>6501.119999999999</v>
      </c>
      <c r="C18" s="5">
        <f>(((C14)+(C15))+(C16))+(C17)</f>
        <v>11833.509999999998</v>
      </c>
      <c r="D18" s="5">
        <f t="shared" si="1"/>
        <v>-5332.3899999999994</v>
      </c>
      <c r="E18" s="6">
        <f t="shared" si="2"/>
        <v>0.54938222049079266</v>
      </c>
      <c r="F18" s="5">
        <f>(((F14)+(F15))+(F16))+(F17)</f>
        <v>10835.2</v>
      </c>
      <c r="G18" s="5">
        <f>(((G14)+(G15))+(G16))+(G17)</f>
        <v>11833.509999999998</v>
      </c>
      <c r="H18" s="5">
        <f t="shared" si="3"/>
        <v>-998.30999999999767</v>
      </c>
      <c r="I18" s="6">
        <f t="shared" si="4"/>
        <v>0.91563703415132136</v>
      </c>
      <c r="J18" s="5">
        <f>(((J14)+(J15))+(J16))+(J17)</f>
        <v>16252.8</v>
      </c>
      <c r="K18" s="5">
        <f>(((K14)+(K15))+(K16))+(K17)</f>
        <v>11833.509999999998</v>
      </c>
      <c r="L18" s="5">
        <f t="shared" si="5"/>
        <v>4419.2900000000009</v>
      </c>
      <c r="M18" s="6">
        <f t="shared" si="6"/>
        <v>1.3734555512269817</v>
      </c>
      <c r="N18" s="5">
        <f>(((N14)+(N15))+(N16))+(N17)</f>
        <v>10835.2</v>
      </c>
      <c r="O18" s="5">
        <f>(((O14)+(O15))+(O16))+(O17)</f>
        <v>11833.509999999998</v>
      </c>
      <c r="P18" s="5">
        <f t="shared" si="7"/>
        <v>-998.30999999999767</v>
      </c>
      <c r="Q18" s="6">
        <f t="shared" si="8"/>
        <v>0.91563703415132136</v>
      </c>
      <c r="R18" s="5">
        <f>(((R14)+(R15))+(R16))+(R17)</f>
        <v>10835.2</v>
      </c>
      <c r="S18" s="5">
        <f>(((S14)+(S15))+(S16))+(S17)</f>
        <v>11833.509999999998</v>
      </c>
      <c r="T18" s="5">
        <f t="shared" si="9"/>
        <v>-998.30999999999767</v>
      </c>
      <c r="U18" s="6">
        <f t="shared" si="10"/>
        <v>0.91563703415132136</v>
      </c>
      <c r="V18" s="5">
        <f>(((V14)+(V15))+(V16))+(V17)</f>
        <v>10835.2</v>
      </c>
      <c r="W18" s="5">
        <f>(((W14)+(W15))+(W16))+(W17)</f>
        <v>11833.509999999998</v>
      </c>
      <c r="X18" s="5">
        <f t="shared" si="11"/>
        <v>-998.30999999999767</v>
      </c>
      <c r="Y18" s="6">
        <f t="shared" si="12"/>
        <v>0.91563703415132136</v>
      </c>
      <c r="Z18" s="5">
        <f>(((Z14)+(Z15))+(Z16))+(Z17)</f>
        <v>10835.2</v>
      </c>
      <c r="AA18" s="5">
        <f>(((AA14)+(AA15))+(AA16))+(AA17)</f>
        <v>11833.509999999998</v>
      </c>
      <c r="AB18" s="5">
        <f t="shared" si="13"/>
        <v>-998.30999999999767</v>
      </c>
      <c r="AC18" s="6">
        <f t="shared" si="14"/>
        <v>0.91563703415132136</v>
      </c>
      <c r="AD18" s="5">
        <f>(((AD14)+(AD15))+(AD16))+(AD17)</f>
        <v>10836.1</v>
      </c>
      <c r="AE18" s="5">
        <f>(((AE14)+(AE15))+(AE16))+(AE17)</f>
        <v>11833.509999999998</v>
      </c>
      <c r="AF18" s="5">
        <f t="shared" si="15"/>
        <v>-997.40999999999804</v>
      </c>
      <c r="AG18" s="6">
        <f t="shared" si="16"/>
        <v>0.91571308935387741</v>
      </c>
      <c r="AH18" s="5">
        <f>(((AH14)+(AH15))+(AH16))+(AH17)</f>
        <v>10835.2</v>
      </c>
      <c r="AI18" s="5">
        <f>(((AI14)+(AI15))+(AI16))+(AI17)</f>
        <v>11833.509999999998</v>
      </c>
      <c r="AJ18" s="5">
        <f t="shared" si="17"/>
        <v>-998.30999999999767</v>
      </c>
      <c r="AK18" s="6">
        <f t="shared" si="18"/>
        <v>0.91563703415132136</v>
      </c>
      <c r="AL18" s="5">
        <f>(((AL14)+(AL15))+(AL16))+(AL17)</f>
        <v>16252.8</v>
      </c>
      <c r="AM18" s="5">
        <f>(((AM14)+(AM15))+(AM16))+(AM17)</f>
        <v>11833.509999999998</v>
      </c>
      <c r="AN18" s="5">
        <f t="shared" si="19"/>
        <v>4419.2900000000009</v>
      </c>
      <c r="AO18" s="6">
        <f t="shared" si="20"/>
        <v>1.3734555512269817</v>
      </c>
      <c r="AP18" s="5">
        <f>(((AP14)+(AP15))+(AP16))+(AP17)</f>
        <v>10835.2</v>
      </c>
      <c r="AQ18" s="5">
        <f>(((AQ14)+(AQ15))+(AQ16))+(AQ17)</f>
        <v>11833.509999999998</v>
      </c>
      <c r="AR18" s="5">
        <f t="shared" si="21"/>
        <v>-998.30999999999767</v>
      </c>
      <c r="AS18" s="6">
        <f t="shared" si="22"/>
        <v>0.91563703415132136</v>
      </c>
      <c r="AT18" s="5">
        <f t="shared" si="23"/>
        <v>125689.21999999999</v>
      </c>
      <c r="AU18" s="5">
        <f t="shared" si="24"/>
        <v>130168.60999999996</v>
      </c>
      <c r="AV18" s="5">
        <f t="shared" si="25"/>
        <v>-4479.3899999999703</v>
      </c>
      <c r="AW18" s="6">
        <f t="shared" si="26"/>
        <v>0.96558778648708032</v>
      </c>
    </row>
    <row r="19" spans="1:49">
      <c r="A19" s="1" t="s">
        <v>31</v>
      </c>
      <c r="B19" s="2"/>
      <c r="C19" s="2"/>
      <c r="D19" s="3">
        <f t="shared" si="1"/>
        <v>0</v>
      </c>
      <c r="E19" s="4" t="str">
        <f t="shared" si="2"/>
        <v/>
      </c>
      <c r="F19" s="2"/>
      <c r="G19" s="2"/>
      <c r="H19" s="3">
        <f t="shared" si="3"/>
        <v>0</v>
      </c>
      <c r="I19" s="4" t="str">
        <f t="shared" si="4"/>
        <v/>
      </c>
      <c r="J19" s="2"/>
      <c r="K19" s="2"/>
      <c r="L19" s="3">
        <f t="shared" si="5"/>
        <v>0</v>
      </c>
      <c r="M19" s="4" t="str">
        <f t="shared" si="6"/>
        <v/>
      </c>
      <c r="N19" s="2"/>
      <c r="O19" s="2"/>
      <c r="P19" s="3">
        <f t="shared" si="7"/>
        <v>0</v>
      </c>
      <c r="Q19" s="4" t="str">
        <f t="shared" si="8"/>
        <v/>
      </c>
      <c r="R19" s="2"/>
      <c r="S19" s="2"/>
      <c r="T19" s="3">
        <f t="shared" si="9"/>
        <v>0</v>
      </c>
      <c r="U19" s="4" t="str">
        <f t="shared" si="10"/>
        <v/>
      </c>
      <c r="V19" s="2"/>
      <c r="W19" s="2"/>
      <c r="X19" s="3">
        <f t="shared" si="11"/>
        <v>0</v>
      </c>
      <c r="Y19" s="4" t="str">
        <f t="shared" si="12"/>
        <v/>
      </c>
      <c r="Z19" s="2"/>
      <c r="AA19" s="2"/>
      <c r="AB19" s="3">
        <f t="shared" si="13"/>
        <v>0</v>
      </c>
      <c r="AC19" s="4" t="str">
        <f t="shared" si="14"/>
        <v/>
      </c>
      <c r="AD19" s="2"/>
      <c r="AE19" s="2"/>
      <c r="AF19" s="3">
        <f t="shared" si="15"/>
        <v>0</v>
      </c>
      <c r="AG19" s="4" t="str">
        <f t="shared" si="16"/>
        <v/>
      </c>
      <c r="AH19" s="2"/>
      <c r="AI19" s="2"/>
      <c r="AJ19" s="3">
        <f t="shared" si="17"/>
        <v>0</v>
      </c>
      <c r="AK19" s="4" t="str">
        <f t="shared" si="18"/>
        <v/>
      </c>
      <c r="AL19" s="2"/>
      <c r="AM19" s="2"/>
      <c r="AN19" s="3">
        <f t="shared" si="19"/>
        <v>0</v>
      </c>
      <c r="AO19" s="4" t="str">
        <f t="shared" si="20"/>
        <v/>
      </c>
      <c r="AP19" s="2"/>
      <c r="AQ19" s="2"/>
      <c r="AR19" s="3">
        <f t="shared" si="21"/>
        <v>0</v>
      </c>
      <c r="AS19" s="4" t="str">
        <f t="shared" si="22"/>
        <v/>
      </c>
      <c r="AT19" s="3">
        <f t="shared" si="23"/>
        <v>0</v>
      </c>
      <c r="AU19" s="3">
        <f t="shared" si="24"/>
        <v>0</v>
      </c>
      <c r="AV19" s="3">
        <f t="shared" si="25"/>
        <v>0</v>
      </c>
      <c r="AW19" s="4" t="str">
        <f t="shared" si="26"/>
        <v/>
      </c>
    </row>
    <row r="20" spans="1:49">
      <c r="A20" s="1" t="s">
        <v>32</v>
      </c>
      <c r="B20" s="3">
        <f>413.5</f>
        <v>413.5</v>
      </c>
      <c r="C20" s="3">
        <f>476.89</f>
        <v>476.89</v>
      </c>
      <c r="D20" s="3">
        <f t="shared" si="1"/>
        <v>-63.389999999999986</v>
      </c>
      <c r="E20" s="4">
        <f t="shared" si="2"/>
        <v>0.86707626496676382</v>
      </c>
      <c r="F20" s="3">
        <f>413.5</f>
        <v>413.5</v>
      </c>
      <c r="G20" s="3">
        <f>476.89</f>
        <v>476.89</v>
      </c>
      <c r="H20" s="3">
        <f t="shared" si="3"/>
        <v>-63.389999999999986</v>
      </c>
      <c r="I20" s="4">
        <f t="shared" si="4"/>
        <v>0.86707626496676382</v>
      </c>
      <c r="J20" s="3">
        <f>620.26</f>
        <v>620.26</v>
      </c>
      <c r="K20" s="3">
        <f>476.89</f>
        <v>476.89</v>
      </c>
      <c r="L20" s="3">
        <f t="shared" si="5"/>
        <v>143.37</v>
      </c>
      <c r="M20" s="4">
        <f t="shared" si="6"/>
        <v>1.3006353666463966</v>
      </c>
      <c r="N20" s="3">
        <f>413.5</f>
        <v>413.5</v>
      </c>
      <c r="O20" s="3">
        <f>476.89</f>
        <v>476.89</v>
      </c>
      <c r="P20" s="3">
        <f t="shared" si="7"/>
        <v>-63.389999999999986</v>
      </c>
      <c r="Q20" s="4">
        <f t="shared" si="8"/>
        <v>0.86707626496676382</v>
      </c>
      <c r="R20" s="3">
        <f>413.5</f>
        <v>413.5</v>
      </c>
      <c r="S20" s="3">
        <f>476.89</f>
        <v>476.89</v>
      </c>
      <c r="T20" s="3">
        <f t="shared" si="9"/>
        <v>-63.389999999999986</v>
      </c>
      <c r="U20" s="4">
        <f t="shared" si="10"/>
        <v>0.86707626496676382</v>
      </c>
      <c r="V20" s="3">
        <f>413.5</f>
        <v>413.5</v>
      </c>
      <c r="W20" s="3">
        <f>476.89</f>
        <v>476.89</v>
      </c>
      <c r="X20" s="3">
        <f t="shared" si="11"/>
        <v>-63.389999999999986</v>
      </c>
      <c r="Y20" s="4">
        <f t="shared" si="12"/>
        <v>0.86707626496676382</v>
      </c>
      <c r="Z20" s="3">
        <f>413.5</f>
        <v>413.5</v>
      </c>
      <c r="AA20" s="3">
        <f>476.89</f>
        <v>476.89</v>
      </c>
      <c r="AB20" s="3">
        <f t="shared" si="13"/>
        <v>-63.389999999999986</v>
      </c>
      <c r="AC20" s="4">
        <f t="shared" si="14"/>
        <v>0.86707626496676382</v>
      </c>
      <c r="AD20" s="3">
        <f>413.5</f>
        <v>413.5</v>
      </c>
      <c r="AE20" s="3">
        <f>476.89</f>
        <v>476.89</v>
      </c>
      <c r="AF20" s="3">
        <f t="shared" si="15"/>
        <v>-63.389999999999986</v>
      </c>
      <c r="AG20" s="4">
        <f t="shared" si="16"/>
        <v>0.86707626496676382</v>
      </c>
      <c r="AH20" s="3">
        <f>413.5</f>
        <v>413.5</v>
      </c>
      <c r="AI20" s="3">
        <f>476.89</f>
        <v>476.89</v>
      </c>
      <c r="AJ20" s="3">
        <f t="shared" si="17"/>
        <v>-63.389999999999986</v>
      </c>
      <c r="AK20" s="4">
        <f t="shared" si="18"/>
        <v>0.86707626496676382</v>
      </c>
      <c r="AL20" s="3">
        <f>620.26</f>
        <v>620.26</v>
      </c>
      <c r="AM20" s="3">
        <f>476.89</f>
        <v>476.89</v>
      </c>
      <c r="AN20" s="3">
        <f t="shared" si="19"/>
        <v>143.37</v>
      </c>
      <c r="AO20" s="4">
        <f t="shared" si="20"/>
        <v>1.3006353666463966</v>
      </c>
      <c r="AP20" s="3">
        <f>413.5</f>
        <v>413.5</v>
      </c>
      <c r="AQ20" s="3">
        <f>476.89</f>
        <v>476.89</v>
      </c>
      <c r="AR20" s="3">
        <f t="shared" si="21"/>
        <v>-63.389999999999986</v>
      </c>
      <c r="AS20" s="4">
        <f t="shared" si="22"/>
        <v>0.86707626496676382</v>
      </c>
      <c r="AT20" s="3">
        <f t="shared" si="23"/>
        <v>4962.0200000000004</v>
      </c>
      <c r="AU20" s="3">
        <f t="shared" si="24"/>
        <v>5245.79</v>
      </c>
      <c r="AV20" s="3">
        <f t="shared" si="25"/>
        <v>-283.76999999999953</v>
      </c>
      <c r="AW20" s="4">
        <f t="shared" si="26"/>
        <v>0.94590519254487893</v>
      </c>
    </row>
    <row r="21" spans="1:49">
      <c r="A21" s="1" t="s">
        <v>33</v>
      </c>
      <c r="B21" s="3">
        <f>222.66</f>
        <v>222.66</v>
      </c>
      <c r="C21" s="3">
        <f>256.79</f>
        <v>256.79000000000002</v>
      </c>
      <c r="D21" s="3">
        <f t="shared" si="1"/>
        <v>-34.130000000000024</v>
      </c>
      <c r="E21" s="4">
        <f t="shared" si="2"/>
        <v>0.86708983994703837</v>
      </c>
      <c r="F21" s="3">
        <f>222.66</f>
        <v>222.66</v>
      </c>
      <c r="G21" s="3">
        <f>256.79</f>
        <v>256.79000000000002</v>
      </c>
      <c r="H21" s="3">
        <f t="shared" si="3"/>
        <v>-34.130000000000024</v>
      </c>
      <c r="I21" s="4">
        <f t="shared" si="4"/>
        <v>0.86708983994703837</v>
      </c>
      <c r="J21" s="3">
        <f>333.98</f>
        <v>333.98</v>
      </c>
      <c r="K21" s="3">
        <f>256.79</f>
        <v>256.79000000000002</v>
      </c>
      <c r="L21" s="3">
        <f t="shared" si="5"/>
        <v>77.19</v>
      </c>
      <c r="M21" s="4">
        <f t="shared" si="6"/>
        <v>1.300595817594143</v>
      </c>
      <c r="N21" s="3">
        <f>222.66</f>
        <v>222.66</v>
      </c>
      <c r="O21" s="3">
        <f>256.79</f>
        <v>256.79000000000002</v>
      </c>
      <c r="P21" s="3">
        <f t="shared" si="7"/>
        <v>-34.130000000000024</v>
      </c>
      <c r="Q21" s="4">
        <f t="shared" si="8"/>
        <v>0.86708983994703837</v>
      </c>
      <c r="R21" s="3">
        <f>222.66</f>
        <v>222.66</v>
      </c>
      <c r="S21" s="3">
        <f>256.79</f>
        <v>256.79000000000002</v>
      </c>
      <c r="T21" s="3">
        <f t="shared" si="9"/>
        <v>-34.130000000000024</v>
      </c>
      <c r="U21" s="4">
        <f t="shared" si="10"/>
        <v>0.86708983994703837</v>
      </c>
      <c r="V21" s="3">
        <f>222.66</f>
        <v>222.66</v>
      </c>
      <c r="W21" s="3">
        <f>256.79</f>
        <v>256.79000000000002</v>
      </c>
      <c r="X21" s="3">
        <f t="shared" si="11"/>
        <v>-34.130000000000024</v>
      </c>
      <c r="Y21" s="4">
        <f t="shared" si="12"/>
        <v>0.86708983994703837</v>
      </c>
      <c r="Z21" s="3">
        <f>222.66</f>
        <v>222.66</v>
      </c>
      <c r="AA21" s="3">
        <f>256.79</f>
        <v>256.79000000000002</v>
      </c>
      <c r="AB21" s="3">
        <f t="shared" si="13"/>
        <v>-34.130000000000024</v>
      </c>
      <c r="AC21" s="4">
        <f t="shared" si="14"/>
        <v>0.86708983994703837</v>
      </c>
      <c r="AD21" s="3">
        <f>222.66</f>
        <v>222.66</v>
      </c>
      <c r="AE21" s="3">
        <f>256.79</f>
        <v>256.79000000000002</v>
      </c>
      <c r="AF21" s="3">
        <f t="shared" si="15"/>
        <v>-34.130000000000024</v>
      </c>
      <c r="AG21" s="4">
        <f t="shared" si="16"/>
        <v>0.86708983994703837</v>
      </c>
      <c r="AH21" s="3">
        <f>222.66</f>
        <v>222.66</v>
      </c>
      <c r="AI21" s="3">
        <f>256.79</f>
        <v>256.79000000000002</v>
      </c>
      <c r="AJ21" s="3">
        <f t="shared" si="17"/>
        <v>-34.130000000000024</v>
      </c>
      <c r="AK21" s="4">
        <f t="shared" si="18"/>
        <v>0.86708983994703837</v>
      </c>
      <c r="AL21" s="3">
        <f>333.98</f>
        <v>333.98</v>
      </c>
      <c r="AM21" s="3">
        <f>256.79</f>
        <v>256.79000000000002</v>
      </c>
      <c r="AN21" s="3">
        <f t="shared" si="19"/>
        <v>77.19</v>
      </c>
      <c r="AO21" s="4">
        <f t="shared" si="20"/>
        <v>1.300595817594143</v>
      </c>
      <c r="AP21" s="3">
        <f>222.66</f>
        <v>222.66</v>
      </c>
      <c r="AQ21" s="3">
        <f>256.79</f>
        <v>256.79000000000002</v>
      </c>
      <c r="AR21" s="3">
        <f t="shared" si="21"/>
        <v>-34.130000000000024</v>
      </c>
      <c r="AS21" s="4">
        <f t="shared" si="22"/>
        <v>0.86708983994703837</v>
      </c>
      <c r="AT21" s="3">
        <f t="shared" si="23"/>
        <v>2671.9</v>
      </c>
      <c r="AU21" s="3">
        <f t="shared" si="24"/>
        <v>2824.69</v>
      </c>
      <c r="AV21" s="3">
        <f t="shared" si="25"/>
        <v>-152.78999999999996</v>
      </c>
      <c r="AW21" s="4">
        <f t="shared" si="26"/>
        <v>0.94590910861014843</v>
      </c>
    </row>
    <row r="22" spans="1:49">
      <c r="A22" s="1" t="s">
        <v>34</v>
      </c>
      <c r="B22" s="3">
        <f>0</f>
        <v>0</v>
      </c>
      <c r="C22" s="2"/>
      <c r="D22" s="3">
        <f t="shared" si="1"/>
        <v>0</v>
      </c>
      <c r="E22" s="4" t="str">
        <f t="shared" si="2"/>
        <v/>
      </c>
      <c r="F22" s="3">
        <f>0</f>
        <v>0</v>
      </c>
      <c r="G22" s="2"/>
      <c r="H22" s="3">
        <f t="shared" si="3"/>
        <v>0</v>
      </c>
      <c r="I22" s="4" t="str">
        <f t="shared" si="4"/>
        <v/>
      </c>
      <c r="J22" s="3">
        <f>0</f>
        <v>0</v>
      </c>
      <c r="K22" s="2"/>
      <c r="L22" s="3">
        <f t="shared" si="5"/>
        <v>0</v>
      </c>
      <c r="M22" s="4" t="str">
        <f t="shared" si="6"/>
        <v/>
      </c>
      <c r="N22" s="3">
        <f>0</f>
        <v>0</v>
      </c>
      <c r="O22" s="2"/>
      <c r="P22" s="3">
        <f t="shared" si="7"/>
        <v>0</v>
      </c>
      <c r="Q22" s="4" t="str">
        <f t="shared" si="8"/>
        <v/>
      </c>
      <c r="R22" s="3">
        <f>0</f>
        <v>0</v>
      </c>
      <c r="S22" s="2"/>
      <c r="T22" s="3">
        <f t="shared" si="9"/>
        <v>0</v>
      </c>
      <c r="U22" s="4" t="str">
        <f t="shared" si="10"/>
        <v/>
      </c>
      <c r="V22" s="3">
        <f>0</f>
        <v>0</v>
      </c>
      <c r="W22" s="2"/>
      <c r="X22" s="3">
        <f t="shared" si="11"/>
        <v>0</v>
      </c>
      <c r="Y22" s="4" t="str">
        <f t="shared" si="12"/>
        <v/>
      </c>
      <c r="Z22" s="3">
        <f>0</f>
        <v>0</v>
      </c>
      <c r="AA22" s="2"/>
      <c r="AB22" s="3">
        <f t="shared" si="13"/>
        <v>0</v>
      </c>
      <c r="AC22" s="4" t="str">
        <f t="shared" si="14"/>
        <v/>
      </c>
      <c r="AD22" s="3">
        <f>0</f>
        <v>0</v>
      </c>
      <c r="AE22" s="2"/>
      <c r="AF22" s="3">
        <f t="shared" si="15"/>
        <v>0</v>
      </c>
      <c r="AG22" s="4" t="str">
        <f t="shared" si="16"/>
        <v/>
      </c>
      <c r="AH22" s="3">
        <f>0</f>
        <v>0</v>
      </c>
      <c r="AI22" s="2"/>
      <c r="AJ22" s="3">
        <f t="shared" si="17"/>
        <v>0</v>
      </c>
      <c r="AK22" s="4" t="str">
        <f t="shared" si="18"/>
        <v/>
      </c>
      <c r="AL22" s="3">
        <f>0</f>
        <v>0</v>
      </c>
      <c r="AM22" s="2"/>
      <c r="AN22" s="3">
        <f t="shared" si="19"/>
        <v>0</v>
      </c>
      <c r="AO22" s="4" t="str">
        <f t="shared" si="20"/>
        <v/>
      </c>
      <c r="AP22" s="3">
        <f>0</f>
        <v>0</v>
      </c>
      <c r="AQ22" s="2"/>
      <c r="AR22" s="3">
        <f t="shared" si="21"/>
        <v>0</v>
      </c>
      <c r="AS22" s="4" t="str">
        <f t="shared" si="22"/>
        <v/>
      </c>
      <c r="AT22" s="3">
        <f t="shared" si="23"/>
        <v>0</v>
      </c>
      <c r="AU22" s="3">
        <f t="shared" si="24"/>
        <v>0</v>
      </c>
      <c r="AV22" s="3">
        <f t="shared" si="25"/>
        <v>0</v>
      </c>
      <c r="AW22" s="4" t="str">
        <f t="shared" si="26"/>
        <v/>
      </c>
    </row>
    <row r="23" spans="1:49">
      <c r="A23" s="1" t="s">
        <v>35</v>
      </c>
      <c r="B23" s="5">
        <f>(((B19)+(B20))+(B21))+(B22)</f>
        <v>636.16</v>
      </c>
      <c r="C23" s="5">
        <f>(((C19)+(C20))+(C21))+(C22)</f>
        <v>733.68000000000006</v>
      </c>
      <c r="D23" s="5">
        <f t="shared" si="1"/>
        <v>-97.520000000000095</v>
      </c>
      <c r="E23" s="6">
        <f t="shared" si="2"/>
        <v>0.86708101624686496</v>
      </c>
      <c r="F23" s="5">
        <f>(((F19)+(F20))+(F21))+(F22)</f>
        <v>636.16</v>
      </c>
      <c r="G23" s="5">
        <f>(((G19)+(G20))+(G21))+(G22)</f>
        <v>733.68000000000006</v>
      </c>
      <c r="H23" s="5">
        <f t="shared" si="3"/>
        <v>-97.520000000000095</v>
      </c>
      <c r="I23" s="6">
        <f t="shared" si="4"/>
        <v>0.86708101624686496</v>
      </c>
      <c r="J23" s="5">
        <f>(((J19)+(J20))+(J21))+(J22)</f>
        <v>954.24</v>
      </c>
      <c r="K23" s="5">
        <f>(((K19)+(K20))+(K21))+(K22)</f>
        <v>733.68000000000006</v>
      </c>
      <c r="L23" s="5">
        <f t="shared" si="5"/>
        <v>220.55999999999995</v>
      </c>
      <c r="M23" s="6">
        <f t="shared" si="6"/>
        <v>1.3006215243702977</v>
      </c>
      <c r="N23" s="5">
        <f>(((N19)+(N20))+(N21))+(N22)</f>
        <v>636.16</v>
      </c>
      <c r="O23" s="5">
        <f>(((O19)+(O20))+(O21))+(O22)</f>
        <v>733.68000000000006</v>
      </c>
      <c r="P23" s="5">
        <f t="shared" si="7"/>
        <v>-97.520000000000095</v>
      </c>
      <c r="Q23" s="6">
        <f t="shared" si="8"/>
        <v>0.86708101624686496</v>
      </c>
      <c r="R23" s="5">
        <f>(((R19)+(R20))+(R21))+(R22)</f>
        <v>636.16</v>
      </c>
      <c r="S23" s="5">
        <f>(((S19)+(S20))+(S21))+(S22)</f>
        <v>733.68000000000006</v>
      </c>
      <c r="T23" s="5">
        <f t="shared" si="9"/>
        <v>-97.520000000000095</v>
      </c>
      <c r="U23" s="6">
        <f t="shared" si="10"/>
        <v>0.86708101624686496</v>
      </c>
      <c r="V23" s="5">
        <f>(((V19)+(V20))+(V21))+(V22)</f>
        <v>636.16</v>
      </c>
      <c r="W23" s="5">
        <f>(((W19)+(W20))+(W21))+(W22)</f>
        <v>733.68000000000006</v>
      </c>
      <c r="X23" s="5">
        <f t="shared" si="11"/>
        <v>-97.520000000000095</v>
      </c>
      <c r="Y23" s="6">
        <f t="shared" si="12"/>
        <v>0.86708101624686496</v>
      </c>
      <c r="Z23" s="5">
        <f>(((Z19)+(Z20))+(Z21))+(Z22)</f>
        <v>636.16</v>
      </c>
      <c r="AA23" s="5">
        <f>(((AA19)+(AA20))+(AA21))+(AA22)</f>
        <v>733.68000000000006</v>
      </c>
      <c r="AB23" s="5">
        <f t="shared" si="13"/>
        <v>-97.520000000000095</v>
      </c>
      <c r="AC23" s="6">
        <f t="shared" si="14"/>
        <v>0.86708101624686496</v>
      </c>
      <c r="AD23" s="5">
        <f>(((AD19)+(AD20))+(AD21))+(AD22)</f>
        <v>636.16</v>
      </c>
      <c r="AE23" s="5">
        <f>(((AE19)+(AE20))+(AE21))+(AE22)</f>
        <v>733.68000000000006</v>
      </c>
      <c r="AF23" s="5">
        <f t="shared" si="15"/>
        <v>-97.520000000000095</v>
      </c>
      <c r="AG23" s="6">
        <f t="shared" si="16"/>
        <v>0.86708101624686496</v>
      </c>
      <c r="AH23" s="5">
        <f>(((AH19)+(AH20))+(AH21))+(AH22)</f>
        <v>636.16</v>
      </c>
      <c r="AI23" s="5">
        <f>(((AI19)+(AI20))+(AI21))+(AI22)</f>
        <v>733.68000000000006</v>
      </c>
      <c r="AJ23" s="5">
        <f t="shared" si="17"/>
        <v>-97.520000000000095</v>
      </c>
      <c r="AK23" s="6">
        <f t="shared" si="18"/>
        <v>0.86708101624686496</v>
      </c>
      <c r="AL23" s="5">
        <f>(((AL19)+(AL20))+(AL21))+(AL22)</f>
        <v>954.24</v>
      </c>
      <c r="AM23" s="5">
        <f>(((AM19)+(AM20))+(AM21))+(AM22)</f>
        <v>733.68000000000006</v>
      </c>
      <c r="AN23" s="5">
        <f t="shared" si="19"/>
        <v>220.55999999999995</v>
      </c>
      <c r="AO23" s="6">
        <f t="shared" si="20"/>
        <v>1.3006215243702977</v>
      </c>
      <c r="AP23" s="5">
        <f>(((AP19)+(AP20))+(AP21))+(AP22)</f>
        <v>636.16</v>
      </c>
      <c r="AQ23" s="5">
        <f>(((AQ19)+(AQ20))+(AQ21))+(AQ22)</f>
        <v>733.68000000000006</v>
      </c>
      <c r="AR23" s="5">
        <f t="shared" si="21"/>
        <v>-97.520000000000095</v>
      </c>
      <c r="AS23" s="6">
        <f t="shared" si="22"/>
        <v>0.86708101624686496</v>
      </c>
      <c r="AT23" s="5">
        <f t="shared" si="23"/>
        <v>7633.9199999999992</v>
      </c>
      <c r="AU23" s="5">
        <f t="shared" si="24"/>
        <v>8070.4800000000023</v>
      </c>
      <c r="AV23" s="5">
        <f t="shared" si="25"/>
        <v>-436.56000000000313</v>
      </c>
      <c r="AW23" s="6">
        <f t="shared" si="26"/>
        <v>0.94590656317839794</v>
      </c>
    </row>
    <row r="24" spans="1:49">
      <c r="A24" s="1" t="s">
        <v>36</v>
      </c>
      <c r="B24" s="2"/>
      <c r="C24" s="2"/>
      <c r="D24" s="3">
        <f t="shared" si="1"/>
        <v>0</v>
      </c>
      <c r="E24" s="4" t="str">
        <f t="shared" si="2"/>
        <v/>
      </c>
      <c r="F24" s="2"/>
      <c r="G24" s="2"/>
      <c r="H24" s="3">
        <f t="shared" si="3"/>
        <v>0</v>
      </c>
      <c r="I24" s="4" t="str">
        <f t="shared" si="4"/>
        <v/>
      </c>
      <c r="J24" s="2"/>
      <c r="K24" s="2"/>
      <c r="L24" s="3">
        <f t="shared" si="5"/>
        <v>0</v>
      </c>
      <c r="M24" s="4" t="str">
        <f t="shared" si="6"/>
        <v/>
      </c>
      <c r="N24" s="2"/>
      <c r="O24" s="2"/>
      <c r="P24" s="3">
        <f t="shared" si="7"/>
        <v>0</v>
      </c>
      <c r="Q24" s="4" t="str">
        <f t="shared" si="8"/>
        <v/>
      </c>
      <c r="R24" s="2"/>
      <c r="S24" s="2"/>
      <c r="T24" s="3">
        <f t="shared" si="9"/>
        <v>0</v>
      </c>
      <c r="U24" s="4" t="str">
        <f t="shared" si="10"/>
        <v/>
      </c>
      <c r="V24" s="2"/>
      <c r="W24" s="2"/>
      <c r="X24" s="3">
        <f t="shared" si="11"/>
        <v>0</v>
      </c>
      <c r="Y24" s="4" t="str">
        <f t="shared" si="12"/>
        <v/>
      </c>
      <c r="Z24" s="2"/>
      <c r="AA24" s="2"/>
      <c r="AB24" s="3">
        <f t="shared" si="13"/>
        <v>0</v>
      </c>
      <c r="AC24" s="4" t="str">
        <f t="shared" si="14"/>
        <v/>
      </c>
      <c r="AD24" s="2"/>
      <c r="AE24" s="2"/>
      <c r="AF24" s="3">
        <f t="shared" si="15"/>
        <v>0</v>
      </c>
      <c r="AG24" s="4" t="str">
        <f t="shared" si="16"/>
        <v/>
      </c>
      <c r="AH24" s="2"/>
      <c r="AI24" s="2"/>
      <c r="AJ24" s="3">
        <f t="shared" si="17"/>
        <v>0</v>
      </c>
      <c r="AK24" s="4" t="str">
        <f t="shared" si="18"/>
        <v/>
      </c>
      <c r="AL24" s="2"/>
      <c r="AM24" s="2"/>
      <c r="AN24" s="3">
        <f t="shared" si="19"/>
        <v>0</v>
      </c>
      <c r="AO24" s="4" t="str">
        <f t="shared" si="20"/>
        <v/>
      </c>
      <c r="AP24" s="2"/>
      <c r="AQ24" s="2"/>
      <c r="AR24" s="3">
        <f t="shared" si="21"/>
        <v>0</v>
      </c>
      <c r="AS24" s="4" t="str">
        <f t="shared" si="22"/>
        <v/>
      </c>
      <c r="AT24" s="3">
        <f t="shared" si="23"/>
        <v>0</v>
      </c>
      <c r="AU24" s="3">
        <f t="shared" si="24"/>
        <v>0</v>
      </c>
      <c r="AV24" s="3">
        <f t="shared" si="25"/>
        <v>0</v>
      </c>
      <c r="AW24" s="4" t="str">
        <f t="shared" si="26"/>
        <v/>
      </c>
    </row>
    <row r="25" spans="1:49">
      <c r="A25" s="1" t="s">
        <v>37</v>
      </c>
      <c r="B25" s="3">
        <f>96.74</f>
        <v>96.74</v>
      </c>
      <c r="C25" s="3">
        <f>111.53</f>
        <v>111.53</v>
      </c>
      <c r="D25" s="3">
        <f t="shared" si="1"/>
        <v>-14.790000000000006</v>
      </c>
      <c r="E25" s="4">
        <f t="shared" si="2"/>
        <v>0.86738993992647717</v>
      </c>
      <c r="F25" s="3">
        <f>96.71</f>
        <v>96.71</v>
      </c>
      <c r="G25" s="3">
        <f>111.53</f>
        <v>111.53</v>
      </c>
      <c r="H25" s="3">
        <f t="shared" si="3"/>
        <v>-14.820000000000007</v>
      </c>
      <c r="I25" s="4">
        <f t="shared" si="4"/>
        <v>0.86712095400340705</v>
      </c>
      <c r="J25" s="3">
        <f>145.06</f>
        <v>145.06</v>
      </c>
      <c r="K25" s="3">
        <f>111.53</f>
        <v>111.53</v>
      </c>
      <c r="L25" s="3">
        <f t="shared" si="5"/>
        <v>33.53</v>
      </c>
      <c r="M25" s="4">
        <f t="shared" si="6"/>
        <v>1.3006366000179324</v>
      </c>
      <c r="N25" s="3">
        <f>96.71</f>
        <v>96.71</v>
      </c>
      <c r="O25" s="3">
        <f>111.53</f>
        <v>111.53</v>
      </c>
      <c r="P25" s="3">
        <f t="shared" si="7"/>
        <v>-14.820000000000007</v>
      </c>
      <c r="Q25" s="4">
        <f t="shared" si="8"/>
        <v>0.86712095400340705</v>
      </c>
      <c r="R25" s="3">
        <f>96.71</f>
        <v>96.71</v>
      </c>
      <c r="S25" s="3">
        <f>111.53</f>
        <v>111.53</v>
      </c>
      <c r="T25" s="3">
        <f t="shared" si="9"/>
        <v>-14.820000000000007</v>
      </c>
      <c r="U25" s="4">
        <f t="shared" si="10"/>
        <v>0.86712095400340705</v>
      </c>
      <c r="V25" s="3">
        <f>96.71</f>
        <v>96.71</v>
      </c>
      <c r="W25" s="3">
        <f>111.53</f>
        <v>111.53</v>
      </c>
      <c r="X25" s="3">
        <f t="shared" si="11"/>
        <v>-14.820000000000007</v>
      </c>
      <c r="Y25" s="4">
        <f t="shared" si="12"/>
        <v>0.86712095400340705</v>
      </c>
      <c r="Z25" s="3">
        <f>96.71</f>
        <v>96.71</v>
      </c>
      <c r="AA25" s="3">
        <f>111.53</f>
        <v>111.53</v>
      </c>
      <c r="AB25" s="3">
        <f t="shared" si="13"/>
        <v>-14.820000000000007</v>
      </c>
      <c r="AC25" s="4">
        <f t="shared" si="14"/>
        <v>0.86712095400340705</v>
      </c>
      <c r="AD25" s="3">
        <f>96.71</f>
        <v>96.71</v>
      </c>
      <c r="AE25" s="3">
        <f>111.53</f>
        <v>111.53</v>
      </c>
      <c r="AF25" s="3">
        <f t="shared" si="15"/>
        <v>-14.820000000000007</v>
      </c>
      <c r="AG25" s="4">
        <f t="shared" si="16"/>
        <v>0.86712095400340705</v>
      </c>
      <c r="AH25" s="3">
        <f>96.71</f>
        <v>96.71</v>
      </c>
      <c r="AI25" s="3">
        <f>111.53</f>
        <v>111.53</v>
      </c>
      <c r="AJ25" s="3">
        <f t="shared" si="17"/>
        <v>-14.820000000000007</v>
      </c>
      <c r="AK25" s="4">
        <f t="shared" si="18"/>
        <v>0.86712095400340705</v>
      </c>
      <c r="AL25" s="3">
        <f>145.06</f>
        <v>145.06</v>
      </c>
      <c r="AM25" s="3">
        <f>111.53</f>
        <v>111.53</v>
      </c>
      <c r="AN25" s="3">
        <f t="shared" si="19"/>
        <v>33.53</v>
      </c>
      <c r="AO25" s="4">
        <f t="shared" si="20"/>
        <v>1.3006366000179324</v>
      </c>
      <c r="AP25" s="3">
        <f>96.71</f>
        <v>96.71</v>
      </c>
      <c r="AQ25" s="3">
        <f>111.53</f>
        <v>111.53</v>
      </c>
      <c r="AR25" s="3">
        <f t="shared" si="21"/>
        <v>-14.820000000000007</v>
      </c>
      <c r="AS25" s="4">
        <f t="shared" si="22"/>
        <v>0.86712095400340705</v>
      </c>
      <c r="AT25" s="3">
        <f t="shared" si="23"/>
        <v>1160.5400000000002</v>
      </c>
      <c r="AU25" s="3">
        <f t="shared" si="24"/>
        <v>1226.83</v>
      </c>
      <c r="AV25" s="3">
        <f t="shared" si="25"/>
        <v>-66.289999999999736</v>
      </c>
      <c r="AW25" s="4">
        <f t="shared" si="26"/>
        <v>0.94596643381723655</v>
      </c>
    </row>
    <row r="26" spans="1:49">
      <c r="A26" s="1" t="s">
        <v>38</v>
      </c>
      <c r="B26" s="3">
        <f>52.09</f>
        <v>52.09</v>
      </c>
      <c r="C26" s="3">
        <f>60.06</f>
        <v>60.06</v>
      </c>
      <c r="D26" s="3">
        <f t="shared" si="1"/>
        <v>-7.9699999999999989</v>
      </c>
      <c r="E26" s="4">
        <f t="shared" si="2"/>
        <v>0.8672993672993673</v>
      </c>
      <c r="F26" s="3">
        <f>52.07</f>
        <v>52.07</v>
      </c>
      <c r="G26" s="3">
        <f>60.06</f>
        <v>60.06</v>
      </c>
      <c r="H26" s="3">
        <f t="shared" si="3"/>
        <v>-7.990000000000002</v>
      </c>
      <c r="I26" s="4">
        <f t="shared" si="4"/>
        <v>0.86696636696636697</v>
      </c>
      <c r="J26" s="3">
        <f>78.11</f>
        <v>78.11</v>
      </c>
      <c r="K26" s="3">
        <f>60.06</f>
        <v>60.06</v>
      </c>
      <c r="L26" s="3">
        <f t="shared" si="5"/>
        <v>18.049999999999997</v>
      </c>
      <c r="M26" s="4">
        <f t="shared" si="6"/>
        <v>1.3005328005328005</v>
      </c>
      <c r="N26" s="3">
        <f>52.07</f>
        <v>52.07</v>
      </c>
      <c r="O26" s="3">
        <f>60.06</f>
        <v>60.06</v>
      </c>
      <c r="P26" s="3">
        <f t="shared" si="7"/>
        <v>-7.990000000000002</v>
      </c>
      <c r="Q26" s="4">
        <f t="shared" si="8"/>
        <v>0.86696636696636697</v>
      </c>
      <c r="R26" s="3">
        <f>52.07</f>
        <v>52.07</v>
      </c>
      <c r="S26" s="3">
        <f>60.06</f>
        <v>60.06</v>
      </c>
      <c r="T26" s="3">
        <f t="shared" si="9"/>
        <v>-7.990000000000002</v>
      </c>
      <c r="U26" s="4">
        <f t="shared" si="10"/>
        <v>0.86696636696636697</v>
      </c>
      <c r="V26" s="3">
        <f>52.07</f>
        <v>52.07</v>
      </c>
      <c r="W26" s="3">
        <f>60.06</f>
        <v>60.06</v>
      </c>
      <c r="X26" s="3">
        <f t="shared" si="11"/>
        <v>-7.990000000000002</v>
      </c>
      <c r="Y26" s="4">
        <f t="shared" si="12"/>
        <v>0.86696636696636697</v>
      </c>
      <c r="Z26" s="3">
        <f>52.07</f>
        <v>52.07</v>
      </c>
      <c r="AA26" s="3">
        <f>60.06</f>
        <v>60.06</v>
      </c>
      <c r="AB26" s="3">
        <f t="shared" si="13"/>
        <v>-7.990000000000002</v>
      </c>
      <c r="AC26" s="4">
        <f t="shared" si="14"/>
        <v>0.86696636696636697</v>
      </c>
      <c r="AD26" s="3">
        <f>52.07</f>
        <v>52.07</v>
      </c>
      <c r="AE26" s="3">
        <f>60.06</f>
        <v>60.06</v>
      </c>
      <c r="AF26" s="3">
        <f t="shared" si="15"/>
        <v>-7.990000000000002</v>
      </c>
      <c r="AG26" s="4">
        <f t="shared" si="16"/>
        <v>0.86696636696636697</v>
      </c>
      <c r="AH26" s="3">
        <f>52.07</f>
        <v>52.07</v>
      </c>
      <c r="AI26" s="3">
        <f>60.06</f>
        <v>60.06</v>
      </c>
      <c r="AJ26" s="3">
        <f t="shared" si="17"/>
        <v>-7.990000000000002</v>
      </c>
      <c r="AK26" s="4">
        <f t="shared" si="18"/>
        <v>0.86696636696636697</v>
      </c>
      <c r="AL26" s="3">
        <f>78.11</f>
        <v>78.11</v>
      </c>
      <c r="AM26" s="3">
        <f>60.06</f>
        <v>60.06</v>
      </c>
      <c r="AN26" s="3">
        <f t="shared" si="19"/>
        <v>18.049999999999997</v>
      </c>
      <c r="AO26" s="4">
        <f t="shared" si="20"/>
        <v>1.3005328005328005</v>
      </c>
      <c r="AP26" s="3">
        <f>52.07</f>
        <v>52.07</v>
      </c>
      <c r="AQ26" s="3">
        <f>60.06</f>
        <v>60.06</v>
      </c>
      <c r="AR26" s="3">
        <f t="shared" si="21"/>
        <v>-7.990000000000002</v>
      </c>
      <c r="AS26" s="4">
        <f t="shared" si="22"/>
        <v>0.86696636696636697</v>
      </c>
      <c r="AT26" s="3">
        <f t="shared" si="23"/>
        <v>624.87</v>
      </c>
      <c r="AU26" s="3">
        <f t="shared" si="24"/>
        <v>660.65999999999985</v>
      </c>
      <c r="AV26" s="3">
        <f t="shared" si="25"/>
        <v>-35.78999999999985</v>
      </c>
      <c r="AW26" s="4">
        <f t="shared" si="26"/>
        <v>0.94582690037235517</v>
      </c>
    </row>
    <row r="27" spans="1:49">
      <c r="A27" s="1" t="s">
        <v>39</v>
      </c>
      <c r="B27" s="3">
        <f>0</f>
        <v>0</v>
      </c>
      <c r="C27" s="2"/>
      <c r="D27" s="3">
        <f t="shared" si="1"/>
        <v>0</v>
      </c>
      <c r="E27" s="4" t="str">
        <f t="shared" si="2"/>
        <v/>
      </c>
      <c r="F27" s="3">
        <f>0</f>
        <v>0</v>
      </c>
      <c r="G27" s="2"/>
      <c r="H27" s="3">
        <f t="shared" si="3"/>
        <v>0</v>
      </c>
      <c r="I27" s="4" t="str">
        <f t="shared" si="4"/>
        <v/>
      </c>
      <c r="J27" s="3">
        <f>0</f>
        <v>0</v>
      </c>
      <c r="K27" s="2"/>
      <c r="L27" s="3">
        <f t="shared" si="5"/>
        <v>0</v>
      </c>
      <c r="M27" s="4" t="str">
        <f t="shared" si="6"/>
        <v/>
      </c>
      <c r="N27" s="3">
        <f>0</f>
        <v>0</v>
      </c>
      <c r="O27" s="2"/>
      <c r="P27" s="3">
        <f t="shared" si="7"/>
        <v>0</v>
      </c>
      <c r="Q27" s="4" t="str">
        <f t="shared" si="8"/>
        <v/>
      </c>
      <c r="R27" s="3">
        <f>0</f>
        <v>0</v>
      </c>
      <c r="S27" s="2"/>
      <c r="T27" s="3">
        <f t="shared" si="9"/>
        <v>0</v>
      </c>
      <c r="U27" s="4" t="str">
        <f t="shared" si="10"/>
        <v/>
      </c>
      <c r="V27" s="3">
        <f>0</f>
        <v>0</v>
      </c>
      <c r="W27" s="2"/>
      <c r="X27" s="3">
        <f t="shared" si="11"/>
        <v>0</v>
      </c>
      <c r="Y27" s="4" t="str">
        <f t="shared" si="12"/>
        <v/>
      </c>
      <c r="Z27" s="3">
        <f>0</f>
        <v>0</v>
      </c>
      <c r="AA27" s="2"/>
      <c r="AB27" s="3">
        <f t="shared" si="13"/>
        <v>0</v>
      </c>
      <c r="AC27" s="4" t="str">
        <f t="shared" si="14"/>
        <v/>
      </c>
      <c r="AD27" s="3">
        <f>0</f>
        <v>0</v>
      </c>
      <c r="AE27" s="2"/>
      <c r="AF27" s="3">
        <f t="shared" si="15"/>
        <v>0</v>
      </c>
      <c r="AG27" s="4" t="str">
        <f t="shared" si="16"/>
        <v/>
      </c>
      <c r="AH27" s="3">
        <f>0</f>
        <v>0</v>
      </c>
      <c r="AI27" s="2"/>
      <c r="AJ27" s="3">
        <f t="shared" si="17"/>
        <v>0</v>
      </c>
      <c r="AK27" s="4" t="str">
        <f t="shared" si="18"/>
        <v/>
      </c>
      <c r="AL27" s="3">
        <f>0</f>
        <v>0</v>
      </c>
      <c r="AM27" s="2"/>
      <c r="AN27" s="3">
        <f t="shared" si="19"/>
        <v>0</v>
      </c>
      <c r="AO27" s="4" t="str">
        <f t="shared" si="20"/>
        <v/>
      </c>
      <c r="AP27" s="3">
        <f>0</f>
        <v>0</v>
      </c>
      <c r="AQ27" s="2"/>
      <c r="AR27" s="3">
        <f t="shared" si="21"/>
        <v>0</v>
      </c>
      <c r="AS27" s="4" t="str">
        <f t="shared" si="22"/>
        <v/>
      </c>
      <c r="AT27" s="3">
        <f t="shared" si="23"/>
        <v>0</v>
      </c>
      <c r="AU27" s="3">
        <f t="shared" si="24"/>
        <v>0</v>
      </c>
      <c r="AV27" s="3">
        <f t="shared" si="25"/>
        <v>0</v>
      </c>
      <c r="AW27" s="4" t="str">
        <f t="shared" si="26"/>
        <v/>
      </c>
    </row>
    <row r="28" spans="1:49">
      <c r="A28" s="1" t="s">
        <v>40</v>
      </c>
      <c r="B28" s="5">
        <f>(((B24)+(B25))+(B26))+(B27)</f>
        <v>148.82999999999998</v>
      </c>
      <c r="C28" s="5">
        <f>(((C24)+(C25))+(C26))+(C27)</f>
        <v>171.59</v>
      </c>
      <c r="D28" s="5">
        <f t="shared" si="1"/>
        <v>-22.760000000000019</v>
      </c>
      <c r="E28" s="6">
        <f t="shared" si="2"/>
        <v>0.86735823765953712</v>
      </c>
      <c r="F28" s="5">
        <f>(((F24)+(F25))+(F26))+(F27)</f>
        <v>148.78</v>
      </c>
      <c r="G28" s="5">
        <f>(((G24)+(G25))+(G26))+(G27)</f>
        <v>171.59</v>
      </c>
      <c r="H28" s="5">
        <f t="shared" si="3"/>
        <v>-22.810000000000002</v>
      </c>
      <c r="I28" s="6">
        <f t="shared" si="4"/>
        <v>0.86706684538726031</v>
      </c>
      <c r="J28" s="5">
        <f>(((J24)+(J25))+(J26))+(J27)</f>
        <v>223.17000000000002</v>
      </c>
      <c r="K28" s="5">
        <f>(((K24)+(K25))+(K26))+(K27)</f>
        <v>171.59</v>
      </c>
      <c r="L28" s="5">
        <f t="shared" si="5"/>
        <v>51.580000000000013</v>
      </c>
      <c r="M28" s="6">
        <f t="shared" si="6"/>
        <v>1.3006002680808906</v>
      </c>
      <c r="N28" s="5">
        <f>(((N24)+(N25))+(N26))+(N27)</f>
        <v>148.78</v>
      </c>
      <c r="O28" s="5">
        <f>(((O24)+(O25))+(O26))+(O27)</f>
        <v>171.59</v>
      </c>
      <c r="P28" s="5">
        <f t="shared" si="7"/>
        <v>-22.810000000000002</v>
      </c>
      <c r="Q28" s="6">
        <f t="shared" si="8"/>
        <v>0.86706684538726031</v>
      </c>
      <c r="R28" s="5">
        <f>(((R24)+(R25))+(R26))+(R27)</f>
        <v>148.78</v>
      </c>
      <c r="S28" s="5">
        <f>(((S24)+(S25))+(S26))+(S27)</f>
        <v>171.59</v>
      </c>
      <c r="T28" s="5">
        <f t="shared" si="9"/>
        <v>-22.810000000000002</v>
      </c>
      <c r="U28" s="6">
        <f t="shared" si="10"/>
        <v>0.86706684538726031</v>
      </c>
      <c r="V28" s="5">
        <f>(((V24)+(V25))+(V26))+(V27)</f>
        <v>148.78</v>
      </c>
      <c r="W28" s="5">
        <f>(((W24)+(W25))+(W26))+(W27)</f>
        <v>171.59</v>
      </c>
      <c r="X28" s="5">
        <f t="shared" si="11"/>
        <v>-22.810000000000002</v>
      </c>
      <c r="Y28" s="6">
        <f t="shared" si="12"/>
        <v>0.86706684538726031</v>
      </c>
      <c r="Z28" s="5">
        <f>(((Z24)+(Z25))+(Z26))+(Z27)</f>
        <v>148.78</v>
      </c>
      <c r="AA28" s="5">
        <f>(((AA24)+(AA25))+(AA26))+(AA27)</f>
        <v>171.59</v>
      </c>
      <c r="AB28" s="5">
        <f t="shared" si="13"/>
        <v>-22.810000000000002</v>
      </c>
      <c r="AC28" s="6">
        <f t="shared" si="14"/>
        <v>0.86706684538726031</v>
      </c>
      <c r="AD28" s="5">
        <f>(((AD24)+(AD25))+(AD26))+(AD27)</f>
        <v>148.78</v>
      </c>
      <c r="AE28" s="5">
        <f>(((AE24)+(AE25))+(AE26))+(AE27)</f>
        <v>171.59</v>
      </c>
      <c r="AF28" s="5">
        <f t="shared" si="15"/>
        <v>-22.810000000000002</v>
      </c>
      <c r="AG28" s="6">
        <f t="shared" si="16"/>
        <v>0.86706684538726031</v>
      </c>
      <c r="AH28" s="5">
        <f>(((AH24)+(AH25))+(AH26))+(AH27)</f>
        <v>148.78</v>
      </c>
      <c r="AI28" s="5">
        <f>(((AI24)+(AI25))+(AI26))+(AI27)</f>
        <v>171.59</v>
      </c>
      <c r="AJ28" s="5">
        <f t="shared" si="17"/>
        <v>-22.810000000000002</v>
      </c>
      <c r="AK28" s="6">
        <f t="shared" si="18"/>
        <v>0.86706684538726031</v>
      </c>
      <c r="AL28" s="5">
        <f>(((AL24)+(AL25))+(AL26))+(AL27)</f>
        <v>223.17000000000002</v>
      </c>
      <c r="AM28" s="5">
        <f>(((AM24)+(AM25))+(AM26))+(AM27)</f>
        <v>171.59</v>
      </c>
      <c r="AN28" s="5">
        <f t="shared" si="19"/>
        <v>51.580000000000013</v>
      </c>
      <c r="AO28" s="6">
        <f t="shared" si="20"/>
        <v>1.3006002680808906</v>
      </c>
      <c r="AP28" s="5">
        <f>(((AP24)+(AP25))+(AP26))+(AP27)</f>
        <v>148.78</v>
      </c>
      <c r="AQ28" s="5">
        <f>(((AQ24)+(AQ25))+(AQ26))+(AQ27)</f>
        <v>171.59</v>
      </c>
      <c r="AR28" s="5">
        <f t="shared" si="21"/>
        <v>-22.810000000000002</v>
      </c>
      <c r="AS28" s="6">
        <f t="shared" si="22"/>
        <v>0.86706684538726031</v>
      </c>
      <c r="AT28" s="5">
        <f t="shared" si="23"/>
        <v>1785.4099999999999</v>
      </c>
      <c r="AU28" s="5">
        <f t="shared" si="24"/>
        <v>1887.4899999999996</v>
      </c>
      <c r="AV28" s="5">
        <f t="shared" si="25"/>
        <v>-102.0799999999997</v>
      </c>
      <c r="AW28" s="6">
        <f t="shared" si="26"/>
        <v>0.94591759426540023</v>
      </c>
    </row>
    <row r="29" spans="1:49">
      <c r="A29" s="1" t="s">
        <v>41</v>
      </c>
      <c r="B29" s="2"/>
      <c r="C29" s="2"/>
      <c r="D29" s="3">
        <f t="shared" si="1"/>
        <v>0</v>
      </c>
      <c r="E29" s="4" t="str">
        <f t="shared" si="2"/>
        <v/>
      </c>
      <c r="F29" s="2"/>
      <c r="G29" s="2"/>
      <c r="H29" s="3">
        <f t="shared" si="3"/>
        <v>0</v>
      </c>
      <c r="I29" s="4" t="str">
        <f t="shared" si="4"/>
        <v/>
      </c>
      <c r="J29" s="2"/>
      <c r="K29" s="2"/>
      <c r="L29" s="3">
        <f t="shared" si="5"/>
        <v>0</v>
      </c>
      <c r="M29" s="4" t="str">
        <f t="shared" si="6"/>
        <v/>
      </c>
      <c r="N29" s="2"/>
      <c r="O29" s="2"/>
      <c r="P29" s="3">
        <f t="shared" si="7"/>
        <v>0</v>
      </c>
      <c r="Q29" s="4" t="str">
        <f t="shared" si="8"/>
        <v/>
      </c>
      <c r="R29" s="2"/>
      <c r="S29" s="2"/>
      <c r="T29" s="3">
        <f t="shared" si="9"/>
        <v>0</v>
      </c>
      <c r="U29" s="4" t="str">
        <f t="shared" si="10"/>
        <v/>
      </c>
      <c r="V29" s="2"/>
      <c r="W29" s="2"/>
      <c r="X29" s="3">
        <f t="shared" si="11"/>
        <v>0</v>
      </c>
      <c r="Y29" s="4" t="str">
        <f t="shared" si="12"/>
        <v/>
      </c>
      <c r="Z29" s="2"/>
      <c r="AA29" s="2"/>
      <c r="AB29" s="3">
        <f t="shared" si="13"/>
        <v>0</v>
      </c>
      <c r="AC29" s="4" t="str">
        <f t="shared" si="14"/>
        <v/>
      </c>
      <c r="AD29" s="2"/>
      <c r="AE29" s="2"/>
      <c r="AF29" s="3">
        <f t="shared" si="15"/>
        <v>0</v>
      </c>
      <c r="AG29" s="4" t="str">
        <f t="shared" si="16"/>
        <v/>
      </c>
      <c r="AH29" s="2"/>
      <c r="AI29" s="2"/>
      <c r="AJ29" s="3">
        <f t="shared" si="17"/>
        <v>0</v>
      </c>
      <c r="AK29" s="4" t="str">
        <f t="shared" si="18"/>
        <v/>
      </c>
      <c r="AL29" s="2"/>
      <c r="AM29" s="2"/>
      <c r="AN29" s="3">
        <f t="shared" si="19"/>
        <v>0</v>
      </c>
      <c r="AO29" s="4" t="str">
        <f t="shared" si="20"/>
        <v/>
      </c>
      <c r="AP29" s="2"/>
      <c r="AQ29" s="2"/>
      <c r="AR29" s="3">
        <f t="shared" si="21"/>
        <v>0</v>
      </c>
      <c r="AS29" s="4" t="str">
        <f t="shared" si="22"/>
        <v/>
      </c>
      <c r="AT29" s="3">
        <f t="shared" si="23"/>
        <v>0</v>
      </c>
      <c r="AU29" s="3">
        <f t="shared" si="24"/>
        <v>0</v>
      </c>
      <c r="AV29" s="3">
        <f t="shared" si="25"/>
        <v>0</v>
      </c>
      <c r="AW29" s="4" t="str">
        <f t="shared" si="26"/>
        <v/>
      </c>
    </row>
    <row r="30" spans="1:49">
      <c r="A30" s="1" t="s">
        <v>42</v>
      </c>
      <c r="B30" s="2"/>
      <c r="C30" s="3">
        <f>64.46</f>
        <v>64.459999999999994</v>
      </c>
      <c r="D30" s="3">
        <f t="shared" si="1"/>
        <v>-64.459999999999994</v>
      </c>
      <c r="E30" s="4">
        <f t="shared" si="2"/>
        <v>0</v>
      </c>
      <c r="F30" s="2"/>
      <c r="G30" s="3">
        <f>64.46</f>
        <v>64.459999999999994</v>
      </c>
      <c r="H30" s="3">
        <f t="shared" si="3"/>
        <v>-64.459999999999994</v>
      </c>
      <c r="I30" s="4">
        <f t="shared" si="4"/>
        <v>0</v>
      </c>
      <c r="J30" s="2"/>
      <c r="K30" s="3">
        <f>64.46</f>
        <v>64.459999999999994</v>
      </c>
      <c r="L30" s="3">
        <f t="shared" si="5"/>
        <v>-64.459999999999994</v>
      </c>
      <c r="M30" s="4">
        <f t="shared" si="6"/>
        <v>0</v>
      </c>
      <c r="N30" s="3">
        <f>757.11</f>
        <v>757.11</v>
      </c>
      <c r="O30" s="3">
        <f>64.46</f>
        <v>64.459999999999994</v>
      </c>
      <c r="P30" s="3">
        <f t="shared" si="7"/>
        <v>692.65</v>
      </c>
      <c r="Q30" s="4">
        <f t="shared" si="8"/>
        <v>11.745423518461063</v>
      </c>
      <c r="R30" s="3">
        <f>453.41</f>
        <v>453.41</v>
      </c>
      <c r="S30" s="3">
        <f>64.46</f>
        <v>64.459999999999994</v>
      </c>
      <c r="T30" s="3">
        <f t="shared" si="9"/>
        <v>388.95000000000005</v>
      </c>
      <c r="U30" s="4">
        <f t="shared" si="10"/>
        <v>7.0339745578653439</v>
      </c>
      <c r="V30" s="3">
        <f>117.11</f>
        <v>117.11</v>
      </c>
      <c r="W30" s="3">
        <f>64.46</f>
        <v>64.459999999999994</v>
      </c>
      <c r="X30" s="3">
        <f t="shared" si="11"/>
        <v>52.650000000000006</v>
      </c>
      <c r="Y30" s="4">
        <f t="shared" si="12"/>
        <v>1.8167856034750234</v>
      </c>
      <c r="Z30" s="3">
        <f>-831.9</f>
        <v>-831.9</v>
      </c>
      <c r="AA30" s="3">
        <f>64.46</f>
        <v>64.459999999999994</v>
      </c>
      <c r="AB30" s="3">
        <f t="shared" si="13"/>
        <v>-896.36</v>
      </c>
      <c r="AC30" s="4">
        <f t="shared" si="14"/>
        <v>-12.905677939807633</v>
      </c>
      <c r="AD30" s="3">
        <f>0</f>
        <v>0</v>
      </c>
      <c r="AE30" s="3">
        <f>64.46</f>
        <v>64.459999999999994</v>
      </c>
      <c r="AF30" s="3">
        <f t="shared" si="15"/>
        <v>-64.459999999999994</v>
      </c>
      <c r="AG30" s="4">
        <f t="shared" si="16"/>
        <v>0</v>
      </c>
      <c r="AH30" s="3">
        <f>0</f>
        <v>0</v>
      </c>
      <c r="AI30" s="3">
        <f>64.46</f>
        <v>64.459999999999994</v>
      </c>
      <c r="AJ30" s="3">
        <f t="shared" si="17"/>
        <v>-64.459999999999994</v>
      </c>
      <c r="AK30" s="4">
        <f t="shared" si="18"/>
        <v>0</v>
      </c>
      <c r="AL30" s="3">
        <f>0</f>
        <v>0</v>
      </c>
      <c r="AM30" s="3">
        <f>64.46</f>
        <v>64.459999999999994</v>
      </c>
      <c r="AN30" s="3">
        <f t="shared" si="19"/>
        <v>-64.459999999999994</v>
      </c>
      <c r="AO30" s="4">
        <f t="shared" si="20"/>
        <v>0</v>
      </c>
      <c r="AP30" s="3">
        <f>0</f>
        <v>0</v>
      </c>
      <c r="AQ30" s="3">
        <f>64.46</f>
        <v>64.459999999999994</v>
      </c>
      <c r="AR30" s="3">
        <f t="shared" si="21"/>
        <v>-64.459999999999994</v>
      </c>
      <c r="AS30" s="4">
        <f t="shared" si="22"/>
        <v>0</v>
      </c>
      <c r="AT30" s="3">
        <f t="shared" si="23"/>
        <v>495.7299999999999</v>
      </c>
      <c r="AU30" s="3">
        <f t="shared" si="24"/>
        <v>709.06000000000006</v>
      </c>
      <c r="AV30" s="3">
        <f t="shared" si="25"/>
        <v>-213.33000000000015</v>
      </c>
      <c r="AW30" s="4">
        <f t="shared" si="26"/>
        <v>0.69913688545398112</v>
      </c>
    </row>
    <row r="31" spans="1:49">
      <c r="A31" s="1" t="s">
        <v>43</v>
      </c>
      <c r="B31" s="2"/>
      <c r="C31" s="3">
        <f>34.71</f>
        <v>34.71</v>
      </c>
      <c r="D31" s="3">
        <f t="shared" si="1"/>
        <v>-34.71</v>
      </c>
      <c r="E31" s="4">
        <f t="shared" si="2"/>
        <v>0</v>
      </c>
      <c r="F31" s="2"/>
      <c r="G31" s="3">
        <f>34.71</f>
        <v>34.71</v>
      </c>
      <c r="H31" s="3">
        <f t="shared" si="3"/>
        <v>-34.71</v>
      </c>
      <c r="I31" s="4">
        <f t="shared" si="4"/>
        <v>0</v>
      </c>
      <c r="J31" s="2"/>
      <c r="K31" s="3">
        <f>34.71</f>
        <v>34.71</v>
      </c>
      <c r="L31" s="3">
        <f t="shared" si="5"/>
        <v>-34.71</v>
      </c>
      <c r="M31" s="4">
        <f t="shared" si="6"/>
        <v>0</v>
      </c>
      <c r="N31" s="3">
        <f>407.67</f>
        <v>407.67</v>
      </c>
      <c r="O31" s="3">
        <f>34.71</f>
        <v>34.71</v>
      </c>
      <c r="P31" s="3">
        <f t="shared" si="7"/>
        <v>372.96000000000004</v>
      </c>
      <c r="Q31" s="4">
        <f t="shared" si="8"/>
        <v>11.745030250648229</v>
      </c>
      <c r="R31" s="3">
        <f>244.14</f>
        <v>244.14</v>
      </c>
      <c r="S31" s="3">
        <f>34.71</f>
        <v>34.71</v>
      </c>
      <c r="T31" s="3">
        <f t="shared" si="9"/>
        <v>209.42999999999998</v>
      </c>
      <c r="U31" s="4">
        <f t="shared" si="10"/>
        <v>7.0337078651685392</v>
      </c>
      <c r="V31" s="3">
        <f>63.06</f>
        <v>63.06</v>
      </c>
      <c r="W31" s="3">
        <f>34.71</f>
        <v>34.71</v>
      </c>
      <c r="X31" s="3">
        <f t="shared" si="11"/>
        <v>28.35</v>
      </c>
      <c r="Y31" s="4">
        <f t="shared" si="12"/>
        <v>1.8167675021607606</v>
      </c>
      <c r="Z31" s="3">
        <f>-447.94</f>
        <v>-447.94</v>
      </c>
      <c r="AA31" s="3">
        <f>34.71</f>
        <v>34.71</v>
      </c>
      <c r="AB31" s="3">
        <f t="shared" si="13"/>
        <v>-482.65</v>
      </c>
      <c r="AC31" s="4">
        <f t="shared" si="14"/>
        <v>-12.905214635551713</v>
      </c>
      <c r="AD31" s="3">
        <f>0</f>
        <v>0</v>
      </c>
      <c r="AE31" s="3">
        <f>34.71</f>
        <v>34.71</v>
      </c>
      <c r="AF31" s="3">
        <f t="shared" si="15"/>
        <v>-34.71</v>
      </c>
      <c r="AG31" s="4">
        <f t="shared" si="16"/>
        <v>0</v>
      </c>
      <c r="AH31" s="3">
        <f>0</f>
        <v>0</v>
      </c>
      <c r="AI31" s="3">
        <f>34.71</f>
        <v>34.71</v>
      </c>
      <c r="AJ31" s="3">
        <f t="shared" si="17"/>
        <v>-34.71</v>
      </c>
      <c r="AK31" s="4">
        <f t="shared" si="18"/>
        <v>0</v>
      </c>
      <c r="AL31" s="3">
        <f>0</f>
        <v>0</v>
      </c>
      <c r="AM31" s="3">
        <f>34.71</f>
        <v>34.71</v>
      </c>
      <c r="AN31" s="3">
        <f t="shared" si="19"/>
        <v>-34.71</v>
      </c>
      <c r="AO31" s="4">
        <f t="shared" si="20"/>
        <v>0</v>
      </c>
      <c r="AP31" s="3">
        <f>0</f>
        <v>0</v>
      </c>
      <c r="AQ31" s="3">
        <f>34.71</f>
        <v>34.71</v>
      </c>
      <c r="AR31" s="3">
        <f t="shared" si="21"/>
        <v>-34.71</v>
      </c>
      <c r="AS31" s="4">
        <f t="shared" si="22"/>
        <v>0</v>
      </c>
      <c r="AT31" s="3">
        <f t="shared" si="23"/>
        <v>266.92999999999989</v>
      </c>
      <c r="AU31" s="3">
        <f t="shared" si="24"/>
        <v>381.80999999999995</v>
      </c>
      <c r="AV31" s="3">
        <f t="shared" si="25"/>
        <v>-114.88000000000005</v>
      </c>
      <c r="AW31" s="4">
        <f t="shared" si="26"/>
        <v>0.69911736203871022</v>
      </c>
    </row>
    <row r="32" spans="1:49">
      <c r="A32" s="1" t="s">
        <v>44</v>
      </c>
      <c r="B32" s="3">
        <f>0</f>
        <v>0</v>
      </c>
      <c r="C32" s="2"/>
      <c r="D32" s="3">
        <f t="shared" si="1"/>
        <v>0</v>
      </c>
      <c r="E32" s="4" t="str">
        <f t="shared" si="2"/>
        <v/>
      </c>
      <c r="F32" s="3">
        <f>0</f>
        <v>0</v>
      </c>
      <c r="G32" s="2"/>
      <c r="H32" s="3">
        <f t="shared" si="3"/>
        <v>0</v>
      </c>
      <c r="I32" s="4" t="str">
        <f t="shared" si="4"/>
        <v/>
      </c>
      <c r="J32" s="3">
        <f>0</f>
        <v>0</v>
      </c>
      <c r="K32" s="2"/>
      <c r="L32" s="3">
        <f t="shared" si="5"/>
        <v>0</v>
      </c>
      <c r="M32" s="4" t="str">
        <f t="shared" si="6"/>
        <v/>
      </c>
      <c r="N32" s="3">
        <f>0</f>
        <v>0</v>
      </c>
      <c r="O32" s="2"/>
      <c r="P32" s="3">
        <f t="shared" si="7"/>
        <v>0</v>
      </c>
      <c r="Q32" s="4" t="str">
        <f t="shared" si="8"/>
        <v/>
      </c>
      <c r="R32" s="3">
        <f>0</f>
        <v>0</v>
      </c>
      <c r="S32" s="2"/>
      <c r="T32" s="3">
        <f t="shared" si="9"/>
        <v>0</v>
      </c>
      <c r="U32" s="4" t="str">
        <f t="shared" si="10"/>
        <v/>
      </c>
      <c r="V32" s="3">
        <f>0</f>
        <v>0</v>
      </c>
      <c r="W32" s="2"/>
      <c r="X32" s="3">
        <f t="shared" si="11"/>
        <v>0</v>
      </c>
      <c r="Y32" s="4" t="str">
        <f t="shared" si="12"/>
        <v/>
      </c>
      <c r="Z32" s="3">
        <f>0</f>
        <v>0</v>
      </c>
      <c r="AA32" s="2"/>
      <c r="AB32" s="3">
        <f t="shared" si="13"/>
        <v>0</v>
      </c>
      <c r="AC32" s="4" t="str">
        <f t="shared" si="14"/>
        <v/>
      </c>
      <c r="AD32" s="3">
        <f>0</f>
        <v>0</v>
      </c>
      <c r="AE32" s="2"/>
      <c r="AF32" s="3">
        <f t="shared" si="15"/>
        <v>0</v>
      </c>
      <c r="AG32" s="4" t="str">
        <f t="shared" si="16"/>
        <v/>
      </c>
      <c r="AH32" s="3">
        <f>0</f>
        <v>0</v>
      </c>
      <c r="AI32" s="2"/>
      <c r="AJ32" s="3">
        <f t="shared" si="17"/>
        <v>0</v>
      </c>
      <c r="AK32" s="4" t="str">
        <f t="shared" si="18"/>
        <v/>
      </c>
      <c r="AL32" s="3">
        <f>0</f>
        <v>0</v>
      </c>
      <c r="AM32" s="2"/>
      <c r="AN32" s="3">
        <f t="shared" si="19"/>
        <v>0</v>
      </c>
      <c r="AO32" s="4" t="str">
        <f t="shared" si="20"/>
        <v/>
      </c>
      <c r="AP32" s="3">
        <f>0</f>
        <v>0</v>
      </c>
      <c r="AQ32" s="2"/>
      <c r="AR32" s="3">
        <f t="shared" si="21"/>
        <v>0</v>
      </c>
      <c r="AS32" s="4" t="str">
        <f t="shared" si="22"/>
        <v/>
      </c>
      <c r="AT32" s="3">
        <f t="shared" si="23"/>
        <v>0</v>
      </c>
      <c r="AU32" s="3">
        <f t="shared" si="24"/>
        <v>0</v>
      </c>
      <c r="AV32" s="3">
        <f t="shared" si="25"/>
        <v>0</v>
      </c>
      <c r="AW32" s="4" t="str">
        <f t="shared" si="26"/>
        <v/>
      </c>
    </row>
    <row r="33" spans="1:49">
      <c r="A33" s="1" t="s">
        <v>45</v>
      </c>
      <c r="B33" s="5">
        <f>(((B29)+(B30))+(B31))+(B32)</f>
        <v>0</v>
      </c>
      <c r="C33" s="5">
        <f>(((C29)+(C30))+(C31))+(C32)</f>
        <v>99.169999999999987</v>
      </c>
      <c r="D33" s="5">
        <f t="shared" si="1"/>
        <v>-99.169999999999987</v>
      </c>
      <c r="E33" s="6">
        <f t="shared" si="2"/>
        <v>0</v>
      </c>
      <c r="F33" s="5">
        <f>(((F29)+(F30))+(F31))+(F32)</f>
        <v>0</v>
      </c>
      <c r="G33" s="5">
        <f>(((G29)+(G30))+(G31))+(G32)</f>
        <v>99.169999999999987</v>
      </c>
      <c r="H33" s="5">
        <f t="shared" si="3"/>
        <v>-99.169999999999987</v>
      </c>
      <c r="I33" s="6">
        <f t="shared" si="4"/>
        <v>0</v>
      </c>
      <c r="J33" s="5">
        <f>(((J29)+(J30))+(J31))+(J32)</f>
        <v>0</v>
      </c>
      <c r="K33" s="5">
        <f>(((K29)+(K30))+(K31))+(K32)</f>
        <v>99.169999999999987</v>
      </c>
      <c r="L33" s="5">
        <f t="shared" si="5"/>
        <v>-99.169999999999987</v>
      </c>
      <c r="M33" s="6">
        <f t="shared" si="6"/>
        <v>0</v>
      </c>
      <c r="N33" s="5">
        <f>(((N29)+(N30))+(N31))+(N32)</f>
        <v>1164.78</v>
      </c>
      <c r="O33" s="5">
        <f>(((O29)+(O30))+(O31))+(O32)</f>
        <v>99.169999999999987</v>
      </c>
      <c r="P33" s="5">
        <f t="shared" si="7"/>
        <v>1065.6099999999999</v>
      </c>
      <c r="Q33" s="6">
        <f t="shared" si="8"/>
        <v>11.745285872743775</v>
      </c>
      <c r="R33" s="5">
        <f>(((R29)+(R30))+(R31))+(R32)</f>
        <v>697.55</v>
      </c>
      <c r="S33" s="5">
        <f>(((S29)+(S30))+(S31))+(S32)</f>
        <v>99.169999999999987</v>
      </c>
      <c r="T33" s="5">
        <f t="shared" si="9"/>
        <v>598.38</v>
      </c>
      <c r="U33" s="6">
        <f t="shared" si="10"/>
        <v>7.0338812140768381</v>
      </c>
      <c r="V33" s="5">
        <f>(((V29)+(V30))+(V31))+(V32)</f>
        <v>180.17000000000002</v>
      </c>
      <c r="W33" s="5">
        <f>(((W29)+(W30))+(W31))+(W32)</f>
        <v>99.169999999999987</v>
      </c>
      <c r="X33" s="5">
        <f t="shared" si="11"/>
        <v>81.000000000000028</v>
      </c>
      <c r="Y33" s="6">
        <f t="shared" si="12"/>
        <v>1.8167792679237678</v>
      </c>
      <c r="Z33" s="5">
        <f>(((Z29)+(Z30))+(Z31))+(Z32)</f>
        <v>-1279.8399999999999</v>
      </c>
      <c r="AA33" s="5">
        <f>(((AA29)+(AA30))+(AA31))+(AA32)</f>
        <v>99.169999999999987</v>
      </c>
      <c r="AB33" s="5">
        <f t="shared" si="13"/>
        <v>-1379.01</v>
      </c>
      <c r="AC33" s="6">
        <f t="shared" si="14"/>
        <v>-12.905515780982153</v>
      </c>
      <c r="AD33" s="5">
        <f>(((AD29)+(AD30))+(AD31))+(AD32)</f>
        <v>0</v>
      </c>
      <c r="AE33" s="5">
        <f>(((AE29)+(AE30))+(AE31))+(AE32)</f>
        <v>99.169999999999987</v>
      </c>
      <c r="AF33" s="5">
        <f t="shared" si="15"/>
        <v>-99.169999999999987</v>
      </c>
      <c r="AG33" s="6">
        <f t="shared" si="16"/>
        <v>0</v>
      </c>
      <c r="AH33" s="5">
        <f>(((AH29)+(AH30))+(AH31))+(AH32)</f>
        <v>0</v>
      </c>
      <c r="AI33" s="5">
        <f>(((AI29)+(AI30))+(AI31))+(AI32)</f>
        <v>99.169999999999987</v>
      </c>
      <c r="AJ33" s="5">
        <f t="shared" si="17"/>
        <v>-99.169999999999987</v>
      </c>
      <c r="AK33" s="6">
        <f t="shared" si="18"/>
        <v>0</v>
      </c>
      <c r="AL33" s="5">
        <f>(((AL29)+(AL30))+(AL31))+(AL32)</f>
        <v>0</v>
      </c>
      <c r="AM33" s="5">
        <f>(((AM29)+(AM30))+(AM31))+(AM32)</f>
        <v>99.169999999999987</v>
      </c>
      <c r="AN33" s="5">
        <f t="shared" si="19"/>
        <v>-99.169999999999987</v>
      </c>
      <c r="AO33" s="6">
        <f t="shared" si="20"/>
        <v>0</v>
      </c>
      <c r="AP33" s="5">
        <f>(((AP29)+(AP30))+(AP31))+(AP32)</f>
        <v>0</v>
      </c>
      <c r="AQ33" s="5">
        <f>(((AQ29)+(AQ30))+(AQ31))+(AQ32)</f>
        <v>99.169999999999987</v>
      </c>
      <c r="AR33" s="5">
        <f t="shared" si="21"/>
        <v>-99.169999999999987</v>
      </c>
      <c r="AS33" s="6">
        <f t="shared" si="22"/>
        <v>0</v>
      </c>
      <c r="AT33" s="5">
        <f t="shared" si="23"/>
        <v>762.66000000000008</v>
      </c>
      <c r="AU33" s="5">
        <f t="shared" si="24"/>
        <v>1090.8699999999997</v>
      </c>
      <c r="AV33" s="5">
        <f t="shared" si="25"/>
        <v>-328.20999999999958</v>
      </c>
      <c r="AW33" s="6">
        <f t="shared" si="26"/>
        <v>0.69913005216020274</v>
      </c>
    </row>
    <row r="34" spans="1:49">
      <c r="A34" s="1" t="s">
        <v>46</v>
      </c>
      <c r="B34" s="2"/>
      <c r="C34" s="2"/>
      <c r="D34" s="3">
        <f t="shared" si="1"/>
        <v>0</v>
      </c>
      <c r="E34" s="4" t="str">
        <f t="shared" si="2"/>
        <v/>
      </c>
      <c r="F34" s="2"/>
      <c r="G34" s="2"/>
      <c r="H34" s="3">
        <f t="shared" si="3"/>
        <v>0</v>
      </c>
      <c r="I34" s="4" t="str">
        <f t="shared" si="4"/>
        <v/>
      </c>
      <c r="J34" s="2"/>
      <c r="K34" s="2"/>
      <c r="L34" s="3">
        <f t="shared" si="5"/>
        <v>0</v>
      </c>
      <c r="M34" s="4" t="str">
        <f t="shared" si="6"/>
        <v/>
      </c>
      <c r="N34" s="2"/>
      <c r="O34" s="2"/>
      <c r="P34" s="3">
        <f t="shared" si="7"/>
        <v>0</v>
      </c>
      <c r="Q34" s="4" t="str">
        <f t="shared" si="8"/>
        <v/>
      </c>
      <c r="R34" s="2"/>
      <c r="S34" s="2"/>
      <c r="T34" s="3">
        <f t="shared" si="9"/>
        <v>0</v>
      </c>
      <c r="U34" s="4" t="str">
        <f t="shared" si="10"/>
        <v/>
      </c>
      <c r="V34" s="2"/>
      <c r="W34" s="2"/>
      <c r="X34" s="3">
        <f t="shared" si="11"/>
        <v>0</v>
      </c>
      <c r="Y34" s="4" t="str">
        <f t="shared" si="12"/>
        <v/>
      </c>
      <c r="Z34" s="2"/>
      <c r="AA34" s="2"/>
      <c r="AB34" s="3">
        <f t="shared" si="13"/>
        <v>0</v>
      </c>
      <c r="AC34" s="4" t="str">
        <f t="shared" si="14"/>
        <v/>
      </c>
      <c r="AD34" s="2"/>
      <c r="AE34" s="2"/>
      <c r="AF34" s="3">
        <f t="shared" si="15"/>
        <v>0</v>
      </c>
      <c r="AG34" s="4" t="str">
        <f t="shared" si="16"/>
        <v/>
      </c>
      <c r="AH34" s="2"/>
      <c r="AI34" s="2"/>
      <c r="AJ34" s="3">
        <f t="shared" si="17"/>
        <v>0</v>
      </c>
      <c r="AK34" s="4" t="str">
        <f t="shared" si="18"/>
        <v/>
      </c>
      <c r="AL34" s="2"/>
      <c r="AM34" s="2"/>
      <c r="AN34" s="3">
        <f t="shared" si="19"/>
        <v>0</v>
      </c>
      <c r="AO34" s="4" t="str">
        <f t="shared" si="20"/>
        <v/>
      </c>
      <c r="AP34" s="2"/>
      <c r="AQ34" s="2"/>
      <c r="AR34" s="3">
        <f t="shared" si="21"/>
        <v>0</v>
      </c>
      <c r="AS34" s="4" t="str">
        <f t="shared" si="22"/>
        <v/>
      </c>
      <c r="AT34" s="3">
        <f t="shared" si="23"/>
        <v>0</v>
      </c>
      <c r="AU34" s="3">
        <f t="shared" si="24"/>
        <v>0</v>
      </c>
      <c r="AV34" s="3">
        <f t="shared" si="25"/>
        <v>0</v>
      </c>
      <c r="AW34" s="4" t="str">
        <f t="shared" si="26"/>
        <v/>
      </c>
    </row>
    <row r="35" spans="1:49">
      <c r="A35" s="1" t="s">
        <v>47</v>
      </c>
      <c r="B35" s="3">
        <f>43.48</f>
        <v>43.48</v>
      </c>
      <c r="C35" s="3">
        <f>124.91</f>
        <v>124.91</v>
      </c>
      <c r="D35" s="3">
        <f t="shared" si="1"/>
        <v>-81.430000000000007</v>
      </c>
      <c r="E35" s="4">
        <f t="shared" si="2"/>
        <v>0.34809062525018014</v>
      </c>
      <c r="F35" s="3">
        <f>43.48</f>
        <v>43.48</v>
      </c>
      <c r="G35" s="3">
        <f>124.91</f>
        <v>124.91</v>
      </c>
      <c r="H35" s="3">
        <f t="shared" si="3"/>
        <v>-81.430000000000007</v>
      </c>
      <c r="I35" s="4">
        <f t="shared" si="4"/>
        <v>0.34809062525018014</v>
      </c>
      <c r="J35" s="3">
        <f>30.01</f>
        <v>30.01</v>
      </c>
      <c r="K35" s="3">
        <f>124.91</f>
        <v>124.91</v>
      </c>
      <c r="L35" s="3">
        <f t="shared" si="5"/>
        <v>-94.899999999999991</v>
      </c>
      <c r="M35" s="4">
        <f t="shared" si="6"/>
        <v>0.24025298214714597</v>
      </c>
      <c r="N35" s="3">
        <f>45.45</f>
        <v>45.45</v>
      </c>
      <c r="O35" s="3">
        <f>124.91</f>
        <v>124.91</v>
      </c>
      <c r="P35" s="3">
        <f t="shared" si="7"/>
        <v>-79.459999999999994</v>
      </c>
      <c r="Q35" s="4">
        <f t="shared" si="8"/>
        <v>0.3638619806260508</v>
      </c>
      <c r="R35" s="3">
        <f>45.45</f>
        <v>45.45</v>
      </c>
      <c r="S35" s="3">
        <f>124.91</f>
        <v>124.91</v>
      </c>
      <c r="T35" s="3">
        <f t="shared" si="9"/>
        <v>-79.459999999999994</v>
      </c>
      <c r="U35" s="4">
        <f t="shared" si="10"/>
        <v>0.3638619806260508</v>
      </c>
      <c r="V35" s="3">
        <f>45.45</f>
        <v>45.45</v>
      </c>
      <c r="W35" s="3">
        <f>124.91</f>
        <v>124.91</v>
      </c>
      <c r="X35" s="3">
        <f t="shared" si="11"/>
        <v>-79.459999999999994</v>
      </c>
      <c r="Y35" s="4">
        <f t="shared" si="12"/>
        <v>0.3638619806260508</v>
      </c>
      <c r="Z35" s="3">
        <f>45.45</f>
        <v>45.45</v>
      </c>
      <c r="AA35" s="3">
        <f>124.91</f>
        <v>124.91</v>
      </c>
      <c r="AB35" s="3">
        <f t="shared" si="13"/>
        <v>-79.459999999999994</v>
      </c>
      <c r="AC35" s="4">
        <f t="shared" si="14"/>
        <v>0.3638619806260508</v>
      </c>
      <c r="AD35" s="3">
        <f>45.45</f>
        <v>45.45</v>
      </c>
      <c r="AE35" s="3">
        <f>124.91</f>
        <v>124.91</v>
      </c>
      <c r="AF35" s="3">
        <f t="shared" si="15"/>
        <v>-79.459999999999994</v>
      </c>
      <c r="AG35" s="4">
        <f t="shared" si="16"/>
        <v>0.3638619806260508</v>
      </c>
      <c r="AH35" s="3">
        <f>45.45</f>
        <v>45.45</v>
      </c>
      <c r="AI35" s="3">
        <f>124.91</f>
        <v>124.91</v>
      </c>
      <c r="AJ35" s="3">
        <f t="shared" si="17"/>
        <v>-79.459999999999994</v>
      </c>
      <c r="AK35" s="4">
        <f t="shared" si="18"/>
        <v>0.3638619806260508</v>
      </c>
      <c r="AL35" s="3">
        <f>31.99</f>
        <v>31.99</v>
      </c>
      <c r="AM35" s="3">
        <f>124.91</f>
        <v>124.91</v>
      </c>
      <c r="AN35" s="3">
        <f t="shared" si="19"/>
        <v>-92.92</v>
      </c>
      <c r="AO35" s="4">
        <f t="shared" si="20"/>
        <v>0.25610439516451844</v>
      </c>
      <c r="AP35" s="3">
        <f>45.45</f>
        <v>45.45</v>
      </c>
      <c r="AQ35" s="3">
        <f>124.91</f>
        <v>124.91</v>
      </c>
      <c r="AR35" s="3">
        <f t="shared" si="21"/>
        <v>-79.459999999999994</v>
      </c>
      <c r="AS35" s="4">
        <f t="shared" si="22"/>
        <v>0.3638619806260508</v>
      </c>
      <c r="AT35" s="3">
        <f t="shared" si="23"/>
        <v>467.10999999999996</v>
      </c>
      <c r="AU35" s="3">
        <f t="shared" si="24"/>
        <v>1374.01</v>
      </c>
      <c r="AV35" s="3">
        <f t="shared" si="25"/>
        <v>-906.90000000000009</v>
      </c>
      <c r="AW35" s="4">
        <f t="shared" si="26"/>
        <v>0.33996113565403452</v>
      </c>
    </row>
    <row r="36" spans="1:49">
      <c r="A36" s="1" t="s">
        <v>48</v>
      </c>
      <c r="B36" s="3">
        <f>23.41</f>
        <v>23.41</v>
      </c>
      <c r="C36" s="3">
        <f>67.26</f>
        <v>67.260000000000005</v>
      </c>
      <c r="D36" s="3">
        <f t="shared" si="1"/>
        <v>-43.850000000000009</v>
      </c>
      <c r="E36" s="4">
        <f t="shared" si="2"/>
        <v>0.34805233422539394</v>
      </c>
      <c r="F36" s="3">
        <f>23.41</f>
        <v>23.41</v>
      </c>
      <c r="G36" s="3">
        <f>67.26</f>
        <v>67.260000000000005</v>
      </c>
      <c r="H36" s="3">
        <f t="shared" si="3"/>
        <v>-43.850000000000009</v>
      </c>
      <c r="I36" s="4">
        <f t="shared" si="4"/>
        <v>0.34805233422539394</v>
      </c>
      <c r="J36" s="3">
        <f>16.16</f>
        <v>16.16</v>
      </c>
      <c r="K36" s="3">
        <f>67.26</f>
        <v>67.260000000000005</v>
      </c>
      <c r="L36" s="3">
        <f t="shared" si="5"/>
        <v>-51.100000000000009</v>
      </c>
      <c r="M36" s="4">
        <f t="shared" si="6"/>
        <v>0.24026167112696994</v>
      </c>
      <c r="N36" s="3">
        <f>24.48</f>
        <v>24.48</v>
      </c>
      <c r="O36" s="3">
        <f>67.26</f>
        <v>67.260000000000005</v>
      </c>
      <c r="P36" s="3">
        <f t="shared" si="7"/>
        <v>-42.78</v>
      </c>
      <c r="Q36" s="4">
        <f t="shared" si="8"/>
        <v>0.36396074933095446</v>
      </c>
      <c r="R36" s="3">
        <f>24.48</f>
        <v>24.48</v>
      </c>
      <c r="S36" s="3">
        <f>67.26</f>
        <v>67.260000000000005</v>
      </c>
      <c r="T36" s="3">
        <f t="shared" si="9"/>
        <v>-42.78</v>
      </c>
      <c r="U36" s="4">
        <f t="shared" si="10"/>
        <v>0.36396074933095446</v>
      </c>
      <c r="V36" s="3">
        <f>24.48</f>
        <v>24.48</v>
      </c>
      <c r="W36" s="3">
        <f>67.26</f>
        <v>67.260000000000005</v>
      </c>
      <c r="X36" s="3">
        <f t="shared" si="11"/>
        <v>-42.78</v>
      </c>
      <c r="Y36" s="4">
        <f t="shared" si="12"/>
        <v>0.36396074933095446</v>
      </c>
      <c r="Z36" s="3">
        <f>24.48</f>
        <v>24.48</v>
      </c>
      <c r="AA36" s="3">
        <f>67.26</f>
        <v>67.260000000000005</v>
      </c>
      <c r="AB36" s="3">
        <f t="shared" si="13"/>
        <v>-42.78</v>
      </c>
      <c r="AC36" s="4">
        <f t="shared" si="14"/>
        <v>0.36396074933095446</v>
      </c>
      <c r="AD36" s="3">
        <f>24.48</f>
        <v>24.48</v>
      </c>
      <c r="AE36" s="3">
        <f>67.26</f>
        <v>67.260000000000005</v>
      </c>
      <c r="AF36" s="3">
        <f t="shared" si="15"/>
        <v>-42.78</v>
      </c>
      <c r="AG36" s="4">
        <f t="shared" si="16"/>
        <v>0.36396074933095446</v>
      </c>
      <c r="AH36" s="3">
        <f>24.48</f>
        <v>24.48</v>
      </c>
      <c r="AI36" s="3">
        <f>67.26</f>
        <v>67.260000000000005</v>
      </c>
      <c r="AJ36" s="3">
        <f t="shared" si="17"/>
        <v>-42.78</v>
      </c>
      <c r="AK36" s="4">
        <f t="shared" si="18"/>
        <v>0.36396074933095446</v>
      </c>
      <c r="AL36" s="3">
        <f>17.22</f>
        <v>17.22</v>
      </c>
      <c r="AM36" s="3">
        <f>67.26</f>
        <v>67.260000000000005</v>
      </c>
      <c r="AN36" s="3">
        <f t="shared" si="19"/>
        <v>-50.040000000000006</v>
      </c>
      <c r="AO36" s="4">
        <f t="shared" si="20"/>
        <v>0.25602140945584295</v>
      </c>
      <c r="AP36" s="3">
        <f>24.48</f>
        <v>24.48</v>
      </c>
      <c r="AQ36" s="3">
        <f>67.26</f>
        <v>67.260000000000005</v>
      </c>
      <c r="AR36" s="3">
        <f t="shared" si="21"/>
        <v>-42.78</v>
      </c>
      <c r="AS36" s="4">
        <f t="shared" si="22"/>
        <v>0.36396074933095446</v>
      </c>
      <c r="AT36" s="3">
        <f t="shared" si="23"/>
        <v>251.55999999999997</v>
      </c>
      <c r="AU36" s="3">
        <f t="shared" si="24"/>
        <v>739.86</v>
      </c>
      <c r="AV36" s="3">
        <f t="shared" si="25"/>
        <v>-488.30000000000007</v>
      </c>
      <c r="AW36" s="4">
        <f t="shared" si="26"/>
        <v>0.34001027221366198</v>
      </c>
    </row>
    <row r="37" spans="1:49">
      <c r="A37" s="1" t="s">
        <v>49</v>
      </c>
      <c r="B37" s="3">
        <f>0</f>
        <v>0</v>
      </c>
      <c r="C37" s="2"/>
      <c r="D37" s="3">
        <f t="shared" si="1"/>
        <v>0</v>
      </c>
      <c r="E37" s="4" t="str">
        <f t="shared" si="2"/>
        <v/>
      </c>
      <c r="F37" s="3">
        <f>0</f>
        <v>0</v>
      </c>
      <c r="G37" s="2"/>
      <c r="H37" s="3">
        <f t="shared" si="3"/>
        <v>0</v>
      </c>
      <c r="I37" s="4" t="str">
        <f t="shared" si="4"/>
        <v/>
      </c>
      <c r="J37" s="3">
        <f>0</f>
        <v>0</v>
      </c>
      <c r="K37" s="2"/>
      <c r="L37" s="3">
        <f t="shared" si="5"/>
        <v>0</v>
      </c>
      <c r="M37" s="4" t="str">
        <f t="shared" si="6"/>
        <v/>
      </c>
      <c r="N37" s="3">
        <f>0</f>
        <v>0</v>
      </c>
      <c r="O37" s="2"/>
      <c r="P37" s="3">
        <f t="shared" si="7"/>
        <v>0</v>
      </c>
      <c r="Q37" s="4" t="str">
        <f t="shared" si="8"/>
        <v/>
      </c>
      <c r="R37" s="3">
        <f>0</f>
        <v>0</v>
      </c>
      <c r="S37" s="2"/>
      <c r="T37" s="3">
        <f t="shared" si="9"/>
        <v>0</v>
      </c>
      <c r="U37" s="4" t="str">
        <f t="shared" si="10"/>
        <v/>
      </c>
      <c r="V37" s="3">
        <f>0</f>
        <v>0</v>
      </c>
      <c r="W37" s="2"/>
      <c r="X37" s="3">
        <f t="shared" si="11"/>
        <v>0</v>
      </c>
      <c r="Y37" s="4" t="str">
        <f t="shared" si="12"/>
        <v/>
      </c>
      <c r="Z37" s="3">
        <f>0</f>
        <v>0</v>
      </c>
      <c r="AA37" s="2"/>
      <c r="AB37" s="3">
        <f t="shared" si="13"/>
        <v>0</v>
      </c>
      <c r="AC37" s="4" t="str">
        <f t="shared" si="14"/>
        <v/>
      </c>
      <c r="AD37" s="3">
        <f>0</f>
        <v>0</v>
      </c>
      <c r="AE37" s="2"/>
      <c r="AF37" s="3">
        <f t="shared" si="15"/>
        <v>0</v>
      </c>
      <c r="AG37" s="4" t="str">
        <f t="shared" si="16"/>
        <v/>
      </c>
      <c r="AH37" s="3">
        <f>0</f>
        <v>0</v>
      </c>
      <c r="AI37" s="2"/>
      <c r="AJ37" s="3">
        <f t="shared" si="17"/>
        <v>0</v>
      </c>
      <c r="AK37" s="4" t="str">
        <f t="shared" si="18"/>
        <v/>
      </c>
      <c r="AL37" s="3">
        <f>0</f>
        <v>0</v>
      </c>
      <c r="AM37" s="2"/>
      <c r="AN37" s="3">
        <f t="shared" si="19"/>
        <v>0</v>
      </c>
      <c r="AO37" s="4" t="str">
        <f t="shared" si="20"/>
        <v/>
      </c>
      <c r="AP37" s="3">
        <f>0</f>
        <v>0</v>
      </c>
      <c r="AQ37" s="2"/>
      <c r="AR37" s="3">
        <f t="shared" si="21"/>
        <v>0</v>
      </c>
      <c r="AS37" s="4" t="str">
        <f t="shared" si="22"/>
        <v/>
      </c>
      <c r="AT37" s="3">
        <f t="shared" si="23"/>
        <v>0</v>
      </c>
      <c r="AU37" s="3">
        <f t="shared" si="24"/>
        <v>0</v>
      </c>
      <c r="AV37" s="3">
        <f t="shared" si="25"/>
        <v>0</v>
      </c>
      <c r="AW37" s="4" t="str">
        <f t="shared" si="26"/>
        <v/>
      </c>
    </row>
    <row r="38" spans="1:49">
      <c r="A38" s="1" t="s">
        <v>50</v>
      </c>
      <c r="B38" s="5">
        <f>(((B34)+(B35))+(B36))+(B37)</f>
        <v>66.89</v>
      </c>
      <c r="C38" s="5">
        <f>(((C34)+(C35))+(C36))+(C37)</f>
        <v>192.17000000000002</v>
      </c>
      <c r="D38" s="5">
        <f t="shared" si="1"/>
        <v>-125.28000000000002</v>
      </c>
      <c r="E38" s="6">
        <f t="shared" si="2"/>
        <v>0.34807722329187696</v>
      </c>
      <c r="F38" s="5">
        <f>(((F34)+(F35))+(F36))+(F37)</f>
        <v>66.89</v>
      </c>
      <c r="G38" s="5">
        <f>(((G34)+(G35))+(G36))+(G37)</f>
        <v>192.17000000000002</v>
      </c>
      <c r="H38" s="5">
        <f t="shared" si="3"/>
        <v>-125.28000000000002</v>
      </c>
      <c r="I38" s="6">
        <f t="shared" si="4"/>
        <v>0.34807722329187696</v>
      </c>
      <c r="J38" s="5">
        <f>(((J34)+(J35))+(J36))+(J37)</f>
        <v>46.17</v>
      </c>
      <c r="K38" s="5">
        <f>(((K34)+(K35))+(K36))+(K37)</f>
        <v>192.17000000000002</v>
      </c>
      <c r="L38" s="5">
        <f t="shared" si="5"/>
        <v>-146</v>
      </c>
      <c r="M38" s="6">
        <f t="shared" si="6"/>
        <v>0.24025602331269189</v>
      </c>
      <c r="N38" s="5">
        <f>(((N34)+(N35))+(N36))+(N37)</f>
        <v>69.930000000000007</v>
      </c>
      <c r="O38" s="5">
        <f>(((O34)+(O35))+(O36))+(O37)</f>
        <v>192.17000000000002</v>
      </c>
      <c r="P38" s="5">
        <f t="shared" si="7"/>
        <v>-122.24000000000001</v>
      </c>
      <c r="Q38" s="6">
        <f t="shared" si="8"/>
        <v>0.36389654992974968</v>
      </c>
      <c r="R38" s="5">
        <f>(((R34)+(R35))+(R36))+(R37)</f>
        <v>69.930000000000007</v>
      </c>
      <c r="S38" s="5">
        <f>(((S34)+(S35))+(S36))+(S37)</f>
        <v>192.17000000000002</v>
      </c>
      <c r="T38" s="5">
        <f t="shared" si="9"/>
        <v>-122.24000000000001</v>
      </c>
      <c r="U38" s="6">
        <f t="shared" si="10"/>
        <v>0.36389654992974968</v>
      </c>
      <c r="V38" s="5">
        <f>(((V34)+(V35))+(V36))+(V37)</f>
        <v>69.930000000000007</v>
      </c>
      <c r="W38" s="5">
        <f>(((W34)+(W35))+(W36))+(W37)</f>
        <v>192.17000000000002</v>
      </c>
      <c r="X38" s="5">
        <f t="shared" si="11"/>
        <v>-122.24000000000001</v>
      </c>
      <c r="Y38" s="6">
        <f t="shared" si="12"/>
        <v>0.36389654992974968</v>
      </c>
      <c r="Z38" s="5">
        <f>(((Z34)+(Z35))+(Z36))+(Z37)</f>
        <v>69.930000000000007</v>
      </c>
      <c r="AA38" s="5">
        <f>(((AA34)+(AA35))+(AA36))+(AA37)</f>
        <v>192.17000000000002</v>
      </c>
      <c r="AB38" s="5">
        <f t="shared" si="13"/>
        <v>-122.24000000000001</v>
      </c>
      <c r="AC38" s="6">
        <f t="shared" si="14"/>
        <v>0.36389654992974968</v>
      </c>
      <c r="AD38" s="5">
        <f>(((AD34)+(AD35))+(AD36))+(AD37)</f>
        <v>69.930000000000007</v>
      </c>
      <c r="AE38" s="5">
        <f>(((AE34)+(AE35))+(AE36))+(AE37)</f>
        <v>192.17000000000002</v>
      </c>
      <c r="AF38" s="5">
        <f t="shared" si="15"/>
        <v>-122.24000000000001</v>
      </c>
      <c r="AG38" s="6">
        <f t="shared" si="16"/>
        <v>0.36389654992974968</v>
      </c>
      <c r="AH38" s="5">
        <f>(((AH34)+(AH35))+(AH36))+(AH37)</f>
        <v>69.930000000000007</v>
      </c>
      <c r="AI38" s="5">
        <f>(((AI34)+(AI35))+(AI36))+(AI37)</f>
        <v>192.17000000000002</v>
      </c>
      <c r="AJ38" s="5">
        <f t="shared" si="17"/>
        <v>-122.24000000000001</v>
      </c>
      <c r="AK38" s="6">
        <f t="shared" si="18"/>
        <v>0.36389654992974968</v>
      </c>
      <c r="AL38" s="5">
        <f>(((AL34)+(AL35))+(AL36))+(AL37)</f>
        <v>49.209999999999994</v>
      </c>
      <c r="AM38" s="5">
        <f>(((AM34)+(AM35))+(AM36))+(AM37)</f>
        <v>192.17000000000002</v>
      </c>
      <c r="AN38" s="5">
        <f t="shared" si="19"/>
        <v>-142.96000000000004</v>
      </c>
      <c r="AO38" s="6">
        <f t="shared" si="20"/>
        <v>0.25607534995056452</v>
      </c>
      <c r="AP38" s="5">
        <f>(((AP34)+(AP35))+(AP36))+(AP37)</f>
        <v>69.930000000000007</v>
      </c>
      <c r="AQ38" s="5">
        <f>(((AQ34)+(AQ35))+(AQ36))+(AQ37)</f>
        <v>192.17000000000002</v>
      </c>
      <c r="AR38" s="5">
        <f t="shared" si="21"/>
        <v>-122.24000000000001</v>
      </c>
      <c r="AS38" s="6">
        <f t="shared" si="22"/>
        <v>0.36389654992974968</v>
      </c>
      <c r="AT38" s="5">
        <f t="shared" si="23"/>
        <v>718.67000000000007</v>
      </c>
      <c r="AU38" s="5">
        <f t="shared" si="24"/>
        <v>2113.8700000000003</v>
      </c>
      <c r="AV38" s="5">
        <f t="shared" si="25"/>
        <v>-1395.2000000000003</v>
      </c>
      <c r="AW38" s="6">
        <f t="shared" si="26"/>
        <v>0.33997833357775076</v>
      </c>
    </row>
    <row r="39" spans="1:49">
      <c r="A39" s="1" t="s">
        <v>51</v>
      </c>
      <c r="B39" s="2"/>
      <c r="C39" s="2"/>
      <c r="D39" s="3">
        <f t="shared" si="1"/>
        <v>0</v>
      </c>
      <c r="E39" s="4" t="str">
        <f t="shared" si="2"/>
        <v/>
      </c>
      <c r="F39" s="2"/>
      <c r="G39" s="2"/>
      <c r="H39" s="3">
        <f t="shared" si="3"/>
        <v>0</v>
      </c>
      <c r="I39" s="4" t="str">
        <f t="shared" si="4"/>
        <v/>
      </c>
      <c r="J39" s="2"/>
      <c r="K39" s="2"/>
      <c r="L39" s="3">
        <f t="shared" si="5"/>
        <v>0</v>
      </c>
      <c r="M39" s="4" t="str">
        <f t="shared" si="6"/>
        <v/>
      </c>
      <c r="N39" s="2"/>
      <c r="O39" s="2"/>
      <c r="P39" s="3">
        <f t="shared" si="7"/>
        <v>0</v>
      </c>
      <c r="Q39" s="4" t="str">
        <f t="shared" si="8"/>
        <v/>
      </c>
      <c r="R39" s="2"/>
      <c r="S39" s="2"/>
      <c r="T39" s="3">
        <f t="shared" si="9"/>
        <v>0</v>
      </c>
      <c r="U39" s="4" t="str">
        <f t="shared" si="10"/>
        <v/>
      </c>
      <c r="V39" s="2"/>
      <c r="W39" s="2"/>
      <c r="X39" s="3">
        <f t="shared" si="11"/>
        <v>0</v>
      </c>
      <c r="Y39" s="4" t="str">
        <f t="shared" si="12"/>
        <v/>
      </c>
      <c r="Z39" s="2"/>
      <c r="AA39" s="2"/>
      <c r="AB39" s="3">
        <f t="shared" si="13"/>
        <v>0</v>
      </c>
      <c r="AC39" s="4" t="str">
        <f t="shared" si="14"/>
        <v/>
      </c>
      <c r="AD39" s="2"/>
      <c r="AE39" s="2"/>
      <c r="AF39" s="3">
        <f t="shared" si="15"/>
        <v>0</v>
      </c>
      <c r="AG39" s="4" t="str">
        <f t="shared" si="16"/>
        <v/>
      </c>
      <c r="AH39" s="2"/>
      <c r="AI39" s="2"/>
      <c r="AJ39" s="3">
        <f t="shared" si="17"/>
        <v>0</v>
      </c>
      <c r="AK39" s="4" t="str">
        <f t="shared" si="18"/>
        <v/>
      </c>
      <c r="AL39" s="2"/>
      <c r="AM39" s="2"/>
      <c r="AN39" s="3">
        <f t="shared" si="19"/>
        <v>0</v>
      </c>
      <c r="AO39" s="4" t="str">
        <f t="shared" si="20"/>
        <v/>
      </c>
      <c r="AP39" s="2"/>
      <c r="AQ39" s="2"/>
      <c r="AR39" s="3">
        <f t="shared" si="21"/>
        <v>0</v>
      </c>
      <c r="AS39" s="4" t="str">
        <f t="shared" si="22"/>
        <v/>
      </c>
      <c r="AT39" s="3">
        <f t="shared" si="23"/>
        <v>0</v>
      </c>
      <c r="AU39" s="3">
        <f t="shared" si="24"/>
        <v>0</v>
      </c>
      <c r="AV39" s="3">
        <f t="shared" si="25"/>
        <v>0</v>
      </c>
      <c r="AW39" s="4" t="str">
        <f t="shared" si="26"/>
        <v/>
      </c>
    </row>
    <row r="40" spans="1:49">
      <c r="A40" s="1" t="s">
        <v>52</v>
      </c>
      <c r="B40" s="3">
        <f>-346.4</f>
        <v>-346.4</v>
      </c>
      <c r="C40" s="3">
        <f>1163.01</f>
        <v>1163.01</v>
      </c>
      <c r="D40" s="3">
        <f t="shared" si="1"/>
        <v>-1509.4099999999999</v>
      </c>
      <c r="E40" s="4">
        <f t="shared" si="2"/>
        <v>-0.29784782590003522</v>
      </c>
      <c r="F40" s="3">
        <f>902.99</f>
        <v>902.99</v>
      </c>
      <c r="G40" s="3">
        <f>1163.01</f>
        <v>1163.01</v>
      </c>
      <c r="H40" s="3">
        <f t="shared" si="3"/>
        <v>-260.02</v>
      </c>
      <c r="I40" s="4">
        <f t="shared" si="4"/>
        <v>0.77642496625136503</v>
      </c>
      <c r="J40" s="3">
        <f>652.09</f>
        <v>652.09</v>
      </c>
      <c r="K40" s="3">
        <f>1163.01</f>
        <v>1163.01</v>
      </c>
      <c r="L40" s="3">
        <f t="shared" si="5"/>
        <v>-510.91999999999996</v>
      </c>
      <c r="M40" s="4">
        <f t="shared" si="6"/>
        <v>0.56069165355413975</v>
      </c>
      <c r="N40" s="3">
        <f>5505.29</f>
        <v>5505.29</v>
      </c>
      <c r="O40" s="3">
        <f>1163.01</f>
        <v>1163.01</v>
      </c>
      <c r="P40" s="3">
        <f t="shared" si="7"/>
        <v>4342.28</v>
      </c>
      <c r="Q40" s="4">
        <f t="shared" si="8"/>
        <v>4.7336566323591374</v>
      </c>
      <c r="R40" s="3">
        <f>825.29</f>
        <v>825.29</v>
      </c>
      <c r="S40" s="3">
        <f>1163.01</f>
        <v>1163.01</v>
      </c>
      <c r="T40" s="3">
        <f t="shared" si="9"/>
        <v>-337.72</v>
      </c>
      <c r="U40" s="4">
        <f t="shared" si="10"/>
        <v>0.70961556650415725</v>
      </c>
      <c r="V40" s="3">
        <f>825.29</f>
        <v>825.29</v>
      </c>
      <c r="W40" s="3">
        <f>1163.01</f>
        <v>1163.01</v>
      </c>
      <c r="X40" s="3">
        <f t="shared" si="11"/>
        <v>-337.72</v>
      </c>
      <c r="Y40" s="4">
        <f t="shared" si="12"/>
        <v>0.70961556650415725</v>
      </c>
      <c r="Z40" s="3">
        <f>825.29</f>
        <v>825.29</v>
      </c>
      <c r="AA40" s="3">
        <f>1163.01</f>
        <v>1163.01</v>
      </c>
      <c r="AB40" s="3">
        <f t="shared" si="13"/>
        <v>-337.72</v>
      </c>
      <c r="AC40" s="4">
        <f t="shared" si="14"/>
        <v>0.70961556650415725</v>
      </c>
      <c r="AD40" s="3">
        <f>1996.08</f>
        <v>1996.08</v>
      </c>
      <c r="AE40" s="3">
        <f>1163.01</f>
        <v>1163.01</v>
      </c>
      <c r="AF40" s="3">
        <f t="shared" si="15"/>
        <v>833.06999999999994</v>
      </c>
      <c r="AG40" s="4">
        <f t="shared" si="16"/>
        <v>1.716305104857224</v>
      </c>
      <c r="AH40" s="3">
        <f>-262.55</f>
        <v>-262.55</v>
      </c>
      <c r="AI40" s="3">
        <f>1163.01</f>
        <v>1163.01</v>
      </c>
      <c r="AJ40" s="3">
        <f t="shared" si="17"/>
        <v>-1425.56</v>
      </c>
      <c r="AK40" s="4">
        <f t="shared" si="18"/>
        <v>-0.22575042347013355</v>
      </c>
      <c r="AL40" s="3">
        <f>3032.14</f>
        <v>3032.14</v>
      </c>
      <c r="AM40" s="3">
        <f>1163.01</f>
        <v>1163.01</v>
      </c>
      <c r="AN40" s="3">
        <f t="shared" si="19"/>
        <v>1869.1299999999999</v>
      </c>
      <c r="AO40" s="4">
        <f t="shared" si="20"/>
        <v>2.6071486917567346</v>
      </c>
      <c r="AP40" s="3">
        <f>1996.98</f>
        <v>1996.98</v>
      </c>
      <c r="AQ40" s="3">
        <f>1163.01</f>
        <v>1163.01</v>
      </c>
      <c r="AR40" s="3">
        <f t="shared" si="21"/>
        <v>833.97</v>
      </c>
      <c r="AS40" s="4">
        <f t="shared" si="22"/>
        <v>1.7170789589083499</v>
      </c>
      <c r="AT40" s="3">
        <f t="shared" si="23"/>
        <v>15952.49</v>
      </c>
      <c r="AU40" s="3">
        <f t="shared" si="24"/>
        <v>12793.11</v>
      </c>
      <c r="AV40" s="3">
        <f t="shared" si="25"/>
        <v>3159.3799999999992</v>
      </c>
      <c r="AW40" s="4">
        <f t="shared" si="26"/>
        <v>1.2469594961662958</v>
      </c>
    </row>
    <row r="41" spans="1:49">
      <c r="A41" s="1" t="s">
        <v>53</v>
      </c>
      <c r="B41" s="3">
        <f>-186.52</f>
        <v>-186.52</v>
      </c>
      <c r="C41" s="3">
        <f>626.24</f>
        <v>626.24</v>
      </c>
      <c r="D41" s="3">
        <f t="shared" si="1"/>
        <v>-812.76</v>
      </c>
      <c r="E41" s="4">
        <f t="shared" si="2"/>
        <v>-0.29784108329075115</v>
      </c>
      <c r="F41" s="3">
        <f>486.23</f>
        <v>486.23</v>
      </c>
      <c r="G41" s="3">
        <f>626.24</f>
        <v>626.24</v>
      </c>
      <c r="H41" s="3">
        <f t="shared" si="3"/>
        <v>-140.01</v>
      </c>
      <c r="I41" s="4">
        <f t="shared" si="4"/>
        <v>0.77642756770567201</v>
      </c>
      <c r="J41" s="3">
        <f>351.13</f>
        <v>351.13</v>
      </c>
      <c r="K41" s="3">
        <f>626.24</f>
        <v>626.24</v>
      </c>
      <c r="L41" s="3">
        <f t="shared" si="5"/>
        <v>-275.11</v>
      </c>
      <c r="M41" s="4">
        <f t="shared" si="6"/>
        <v>0.56069557996934083</v>
      </c>
      <c r="N41" s="3">
        <f>2964.39</f>
        <v>2964.39</v>
      </c>
      <c r="O41" s="3">
        <f>626.24</f>
        <v>626.24</v>
      </c>
      <c r="P41" s="3">
        <f t="shared" si="7"/>
        <v>2338.1499999999996</v>
      </c>
      <c r="Q41" s="4">
        <f t="shared" si="8"/>
        <v>4.7336324731732242</v>
      </c>
      <c r="R41" s="3">
        <f>444.39</f>
        <v>444.39</v>
      </c>
      <c r="S41" s="3">
        <f>626.24</f>
        <v>626.24</v>
      </c>
      <c r="T41" s="3">
        <f t="shared" si="9"/>
        <v>-181.85000000000002</v>
      </c>
      <c r="U41" s="4">
        <f t="shared" si="10"/>
        <v>0.70961612161471632</v>
      </c>
      <c r="V41" s="3">
        <f>444.39</f>
        <v>444.39</v>
      </c>
      <c r="W41" s="3">
        <f>626.24</f>
        <v>626.24</v>
      </c>
      <c r="X41" s="3">
        <f t="shared" si="11"/>
        <v>-181.85000000000002</v>
      </c>
      <c r="Y41" s="4">
        <f t="shared" si="12"/>
        <v>0.70961612161471632</v>
      </c>
      <c r="Z41" s="3">
        <f>444.39</f>
        <v>444.39</v>
      </c>
      <c r="AA41" s="3">
        <f>626.24</f>
        <v>626.24</v>
      </c>
      <c r="AB41" s="3">
        <f t="shared" si="13"/>
        <v>-181.85000000000002</v>
      </c>
      <c r="AC41" s="4">
        <f t="shared" si="14"/>
        <v>0.70961612161471632</v>
      </c>
      <c r="AD41" s="3">
        <f>1075.3</f>
        <v>1075.3</v>
      </c>
      <c r="AE41" s="3">
        <f>626.24</f>
        <v>626.24</v>
      </c>
      <c r="AF41" s="3">
        <f t="shared" si="15"/>
        <v>449.05999999999995</v>
      </c>
      <c r="AG41" s="4">
        <f t="shared" si="16"/>
        <v>1.7170733265201839</v>
      </c>
      <c r="AH41" s="3">
        <f>-141.37</f>
        <v>-141.37</v>
      </c>
      <c r="AI41" s="3">
        <f>626.24</f>
        <v>626.24</v>
      </c>
      <c r="AJ41" s="3">
        <f t="shared" si="17"/>
        <v>-767.61</v>
      </c>
      <c r="AK41" s="4">
        <f t="shared" si="18"/>
        <v>-0.22574412365866123</v>
      </c>
      <c r="AL41" s="3">
        <f>1632.69</f>
        <v>1632.69</v>
      </c>
      <c r="AM41" s="3">
        <f>626.24</f>
        <v>626.24</v>
      </c>
      <c r="AN41" s="3">
        <f t="shared" si="19"/>
        <v>1006.45</v>
      </c>
      <c r="AO41" s="4">
        <f t="shared" si="20"/>
        <v>2.6071314512008175</v>
      </c>
      <c r="AP41" s="3">
        <f>1075.3</f>
        <v>1075.3</v>
      </c>
      <c r="AQ41" s="3">
        <f>626.24</f>
        <v>626.24</v>
      </c>
      <c r="AR41" s="3">
        <f t="shared" si="21"/>
        <v>449.05999999999995</v>
      </c>
      <c r="AS41" s="4">
        <f t="shared" si="22"/>
        <v>1.7170733265201839</v>
      </c>
      <c r="AT41" s="3">
        <f t="shared" si="23"/>
        <v>8590.32</v>
      </c>
      <c r="AU41" s="3">
        <f t="shared" si="24"/>
        <v>6888.6399999999985</v>
      </c>
      <c r="AV41" s="3">
        <f t="shared" si="25"/>
        <v>1701.6800000000012</v>
      </c>
      <c r="AW41" s="4">
        <f t="shared" si="26"/>
        <v>1.2470269893621966</v>
      </c>
    </row>
    <row r="42" spans="1:49">
      <c r="A42" s="1" t="s">
        <v>54</v>
      </c>
      <c r="B42" s="3">
        <f>0</f>
        <v>0</v>
      </c>
      <c r="C42" s="2"/>
      <c r="D42" s="3">
        <f t="shared" si="1"/>
        <v>0</v>
      </c>
      <c r="E42" s="4" t="str">
        <f t="shared" si="2"/>
        <v/>
      </c>
      <c r="F42" s="3">
        <f>0</f>
        <v>0</v>
      </c>
      <c r="G42" s="2"/>
      <c r="H42" s="3">
        <f t="shared" si="3"/>
        <v>0</v>
      </c>
      <c r="I42" s="4" t="str">
        <f t="shared" si="4"/>
        <v/>
      </c>
      <c r="J42" s="3">
        <f>0</f>
        <v>0</v>
      </c>
      <c r="K42" s="2"/>
      <c r="L42" s="3">
        <f t="shared" si="5"/>
        <v>0</v>
      </c>
      <c r="M42" s="4" t="str">
        <f t="shared" si="6"/>
        <v/>
      </c>
      <c r="N42" s="3">
        <f>0</f>
        <v>0</v>
      </c>
      <c r="O42" s="2"/>
      <c r="P42" s="3">
        <f t="shared" si="7"/>
        <v>0</v>
      </c>
      <c r="Q42" s="4" t="str">
        <f t="shared" si="8"/>
        <v/>
      </c>
      <c r="R42" s="3">
        <f>0</f>
        <v>0</v>
      </c>
      <c r="S42" s="2"/>
      <c r="T42" s="3">
        <f t="shared" si="9"/>
        <v>0</v>
      </c>
      <c r="U42" s="4" t="str">
        <f t="shared" si="10"/>
        <v/>
      </c>
      <c r="V42" s="3">
        <f>0</f>
        <v>0</v>
      </c>
      <c r="W42" s="2"/>
      <c r="X42" s="3">
        <f t="shared" si="11"/>
        <v>0</v>
      </c>
      <c r="Y42" s="4" t="str">
        <f t="shared" si="12"/>
        <v/>
      </c>
      <c r="Z42" s="3">
        <f>0</f>
        <v>0</v>
      </c>
      <c r="AA42" s="2"/>
      <c r="AB42" s="3">
        <f t="shared" si="13"/>
        <v>0</v>
      </c>
      <c r="AC42" s="4" t="str">
        <f t="shared" si="14"/>
        <v/>
      </c>
      <c r="AD42" s="3">
        <f>0</f>
        <v>0</v>
      </c>
      <c r="AE42" s="2"/>
      <c r="AF42" s="3">
        <f t="shared" si="15"/>
        <v>0</v>
      </c>
      <c r="AG42" s="4" t="str">
        <f t="shared" si="16"/>
        <v/>
      </c>
      <c r="AH42" s="3">
        <f>1802.6</f>
        <v>1802.6</v>
      </c>
      <c r="AI42" s="2"/>
      <c r="AJ42" s="3">
        <f t="shared" si="17"/>
        <v>1802.6</v>
      </c>
      <c r="AK42" s="4" t="str">
        <f t="shared" si="18"/>
        <v/>
      </c>
      <c r="AL42" s="3">
        <f>1802.6</f>
        <v>1802.6</v>
      </c>
      <c r="AM42" s="2"/>
      <c r="AN42" s="3">
        <f t="shared" si="19"/>
        <v>1802.6</v>
      </c>
      <c r="AO42" s="4" t="str">
        <f t="shared" si="20"/>
        <v/>
      </c>
      <c r="AP42" s="3">
        <f>-3605.2</f>
        <v>-3605.2</v>
      </c>
      <c r="AQ42" s="2"/>
      <c r="AR42" s="3">
        <f t="shared" si="21"/>
        <v>-3605.2</v>
      </c>
      <c r="AS42" s="4" t="str">
        <f t="shared" si="22"/>
        <v/>
      </c>
      <c r="AT42" s="3">
        <f t="shared" si="23"/>
        <v>0</v>
      </c>
      <c r="AU42" s="3">
        <f t="shared" si="24"/>
        <v>0</v>
      </c>
      <c r="AV42" s="3">
        <f t="shared" si="25"/>
        <v>0</v>
      </c>
      <c r="AW42" s="4" t="str">
        <f t="shared" si="26"/>
        <v/>
      </c>
    </row>
    <row r="43" spans="1:49">
      <c r="A43" s="1" t="s">
        <v>55</v>
      </c>
      <c r="B43" s="5">
        <f>(((B39)+(B40))+(B41))+(B42)</f>
        <v>-532.91999999999996</v>
      </c>
      <c r="C43" s="5">
        <f>(((C39)+(C40))+(C41))+(C42)</f>
        <v>1789.25</v>
      </c>
      <c r="D43" s="5">
        <f t="shared" si="1"/>
        <v>-2322.17</v>
      </c>
      <c r="E43" s="6">
        <f t="shared" si="2"/>
        <v>-0.29784546597736478</v>
      </c>
      <c r="F43" s="5">
        <f>(((F39)+(F40))+(F41))+(F42)</f>
        <v>1389.22</v>
      </c>
      <c r="G43" s="5">
        <f>(((G39)+(G40))+(G41))+(G42)</f>
        <v>1789.25</v>
      </c>
      <c r="H43" s="5">
        <f t="shared" si="3"/>
        <v>-400.03</v>
      </c>
      <c r="I43" s="6">
        <f t="shared" si="4"/>
        <v>0.77642587676400732</v>
      </c>
      <c r="J43" s="5">
        <f>(((J39)+(J40))+(J41))+(J42)</f>
        <v>1003.22</v>
      </c>
      <c r="K43" s="5">
        <f>(((K39)+(K40))+(K41))+(K42)</f>
        <v>1789.25</v>
      </c>
      <c r="L43" s="5">
        <f t="shared" si="5"/>
        <v>-786.03</v>
      </c>
      <c r="M43" s="6">
        <f t="shared" si="6"/>
        <v>0.56069302780494623</v>
      </c>
      <c r="N43" s="5">
        <f>(((N39)+(N40))+(N41))+(N42)</f>
        <v>8469.68</v>
      </c>
      <c r="O43" s="5">
        <f>(((O39)+(O40))+(O41))+(O42)</f>
        <v>1789.25</v>
      </c>
      <c r="P43" s="5">
        <f t="shared" si="7"/>
        <v>6680.43</v>
      </c>
      <c r="Q43" s="6">
        <f t="shared" si="8"/>
        <v>4.7336481766103118</v>
      </c>
      <c r="R43" s="5">
        <f>(((R39)+(R40))+(R41))+(R42)</f>
        <v>1269.6799999999998</v>
      </c>
      <c r="S43" s="5">
        <f>(((S39)+(S40))+(S41))+(S42)</f>
        <v>1789.25</v>
      </c>
      <c r="T43" s="5">
        <f t="shared" si="9"/>
        <v>-519.57000000000016</v>
      </c>
      <c r="U43" s="6">
        <f t="shared" si="10"/>
        <v>0.70961576079362854</v>
      </c>
      <c r="V43" s="5">
        <f>(((V39)+(V40))+(V41))+(V42)</f>
        <v>1269.6799999999998</v>
      </c>
      <c r="W43" s="5">
        <f>(((W39)+(W40))+(W41))+(W42)</f>
        <v>1789.25</v>
      </c>
      <c r="X43" s="5">
        <f t="shared" si="11"/>
        <v>-519.57000000000016</v>
      </c>
      <c r="Y43" s="6">
        <f t="shared" si="12"/>
        <v>0.70961576079362854</v>
      </c>
      <c r="Z43" s="5">
        <f>(((Z39)+(Z40))+(Z41))+(Z42)</f>
        <v>1269.6799999999998</v>
      </c>
      <c r="AA43" s="5">
        <f>(((AA39)+(AA40))+(AA41))+(AA42)</f>
        <v>1789.25</v>
      </c>
      <c r="AB43" s="5">
        <f t="shared" si="13"/>
        <v>-519.57000000000016</v>
      </c>
      <c r="AC43" s="6">
        <f t="shared" si="14"/>
        <v>0.70961576079362854</v>
      </c>
      <c r="AD43" s="5">
        <f>(((AD39)+(AD40))+(AD41))+(AD42)</f>
        <v>3071.38</v>
      </c>
      <c r="AE43" s="5">
        <f>(((AE39)+(AE40))+(AE41))+(AE42)</f>
        <v>1789.25</v>
      </c>
      <c r="AF43" s="5">
        <f t="shared" si="15"/>
        <v>1282.1300000000001</v>
      </c>
      <c r="AG43" s="6">
        <f t="shared" si="16"/>
        <v>1.716573983512645</v>
      </c>
      <c r="AH43" s="5">
        <f>(((AH39)+(AH40))+(AH41))+(AH42)</f>
        <v>1398.6799999999998</v>
      </c>
      <c r="AI43" s="5">
        <f>(((AI39)+(AI40))+(AI41))+(AI42)</f>
        <v>1789.25</v>
      </c>
      <c r="AJ43" s="5">
        <f t="shared" si="17"/>
        <v>-390.57000000000016</v>
      </c>
      <c r="AK43" s="6">
        <f t="shared" si="18"/>
        <v>0.7817130082436774</v>
      </c>
      <c r="AL43" s="5">
        <f>(((AL39)+(AL40))+(AL41))+(AL42)</f>
        <v>6467.43</v>
      </c>
      <c r="AM43" s="5">
        <f>(((AM39)+(AM40))+(AM41))+(AM42)</f>
        <v>1789.25</v>
      </c>
      <c r="AN43" s="5">
        <f t="shared" si="19"/>
        <v>4678.18</v>
      </c>
      <c r="AO43" s="6">
        <f t="shared" si="20"/>
        <v>3.6146038843090684</v>
      </c>
      <c r="AP43" s="5">
        <f>(((AP39)+(AP40))+(AP41))+(AP42)</f>
        <v>-532.92000000000007</v>
      </c>
      <c r="AQ43" s="5">
        <f>(((AQ39)+(AQ40))+(AQ41))+(AQ42)</f>
        <v>1789.25</v>
      </c>
      <c r="AR43" s="5">
        <f t="shared" si="21"/>
        <v>-2322.17</v>
      </c>
      <c r="AS43" s="6">
        <f t="shared" si="22"/>
        <v>-0.29784546597736483</v>
      </c>
      <c r="AT43" s="5">
        <f t="shared" si="23"/>
        <v>24542.810000000005</v>
      </c>
      <c r="AU43" s="5">
        <f t="shared" si="24"/>
        <v>19681.75</v>
      </c>
      <c r="AV43" s="5">
        <f t="shared" si="25"/>
        <v>4861.0600000000049</v>
      </c>
      <c r="AW43" s="6">
        <f t="shared" si="26"/>
        <v>1.2469831188791649</v>
      </c>
    </row>
    <row r="44" spans="1:49">
      <c r="A44" s="1" t="s">
        <v>56</v>
      </c>
      <c r="B44" s="2"/>
      <c r="C44" s="2"/>
      <c r="D44" s="3">
        <f t="shared" si="1"/>
        <v>0</v>
      </c>
      <c r="E44" s="4" t="str">
        <f t="shared" si="2"/>
        <v/>
      </c>
      <c r="F44" s="2"/>
      <c r="G44" s="2"/>
      <c r="H44" s="3">
        <f t="shared" si="3"/>
        <v>0</v>
      </c>
      <c r="I44" s="4" t="str">
        <f t="shared" si="4"/>
        <v/>
      </c>
      <c r="J44" s="2"/>
      <c r="K44" s="2"/>
      <c r="L44" s="3">
        <f t="shared" si="5"/>
        <v>0</v>
      </c>
      <c r="M44" s="4" t="str">
        <f t="shared" si="6"/>
        <v/>
      </c>
      <c r="N44" s="2"/>
      <c r="O44" s="2"/>
      <c r="P44" s="3">
        <f t="shared" si="7"/>
        <v>0</v>
      </c>
      <c r="Q44" s="4" t="str">
        <f t="shared" si="8"/>
        <v/>
      </c>
      <c r="R44" s="2"/>
      <c r="S44" s="2"/>
      <c r="T44" s="3">
        <f t="shared" si="9"/>
        <v>0</v>
      </c>
      <c r="U44" s="4" t="str">
        <f t="shared" si="10"/>
        <v/>
      </c>
      <c r="V44" s="2"/>
      <c r="W44" s="2"/>
      <c r="X44" s="3">
        <f t="shared" si="11"/>
        <v>0</v>
      </c>
      <c r="Y44" s="4" t="str">
        <f t="shared" si="12"/>
        <v/>
      </c>
      <c r="Z44" s="2"/>
      <c r="AA44" s="2"/>
      <c r="AB44" s="3">
        <f t="shared" si="13"/>
        <v>0</v>
      </c>
      <c r="AC44" s="4" t="str">
        <f t="shared" si="14"/>
        <v/>
      </c>
      <c r="AD44" s="2"/>
      <c r="AE44" s="2"/>
      <c r="AF44" s="3">
        <f t="shared" si="15"/>
        <v>0</v>
      </c>
      <c r="AG44" s="4" t="str">
        <f t="shared" si="16"/>
        <v/>
      </c>
      <c r="AH44" s="2"/>
      <c r="AI44" s="2"/>
      <c r="AJ44" s="3">
        <f t="shared" si="17"/>
        <v>0</v>
      </c>
      <c r="AK44" s="4" t="str">
        <f t="shared" si="18"/>
        <v/>
      </c>
      <c r="AL44" s="2"/>
      <c r="AM44" s="2"/>
      <c r="AN44" s="3">
        <f t="shared" si="19"/>
        <v>0</v>
      </c>
      <c r="AO44" s="4" t="str">
        <f t="shared" si="20"/>
        <v/>
      </c>
      <c r="AP44" s="2"/>
      <c r="AQ44" s="2"/>
      <c r="AR44" s="3">
        <f t="shared" si="21"/>
        <v>0</v>
      </c>
      <c r="AS44" s="4" t="str">
        <f t="shared" si="22"/>
        <v/>
      </c>
      <c r="AT44" s="3">
        <f t="shared" si="23"/>
        <v>0</v>
      </c>
      <c r="AU44" s="3">
        <f t="shared" si="24"/>
        <v>0</v>
      </c>
      <c r="AV44" s="3">
        <f t="shared" si="25"/>
        <v>0</v>
      </c>
      <c r="AW44" s="4" t="str">
        <f t="shared" si="26"/>
        <v/>
      </c>
    </row>
    <row r="45" spans="1:49">
      <c r="A45" s="1" t="s">
        <v>57</v>
      </c>
      <c r="B45" s="3">
        <f>202.25</f>
        <v>202.25</v>
      </c>
      <c r="C45" s="3">
        <f>154.59</f>
        <v>154.59</v>
      </c>
      <c r="D45" s="3">
        <f t="shared" si="1"/>
        <v>47.66</v>
      </c>
      <c r="E45" s="4">
        <f t="shared" si="2"/>
        <v>1.308299372533799</v>
      </c>
      <c r="F45" s="3">
        <f>202.25</f>
        <v>202.25</v>
      </c>
      <c r="G45" s="3">
        <f>154.59</f>
        <v>154.59</v>
      </c>
      <c r="H45" s="3">
        <f t="shared" si="3"/>
        <v>47.66</v>
      </c>
      <c r="I45" s="4">
        <f t="shared" si="4"/>
        <v>1.308299372533799</v>
      </c>
      <c r="J45" s="3">
        <f>202.25</f>
        <v>202.25</v>
      </c>
      <c r="K45" s="3">
        <f>154.59</f>
        <v>154.59</v>
      </c>
      <c r="L45" s="3">
        <f t="shared" si="5"/>
        <v>47.66</v>
      </c>
      <c r="M45" s="4">
        <f t="shared" si="6"/>
        <v>1.308299372533799</v>
      </c>
      <c r="N45" s="3">
        <f>202.25</f>
        <v>202.25</v>
      </c>
      <c r="O45" s="3">
        <f>154.59</f>
        <v>154.59</v>
      </c>
      <c r="P45" s="3">
        <f t="shared" si="7"/>
        <v>47.66</v>
      </c>
      <c r="Q45" s="4">
        <f t="shared" si="8"/>
        <v>1.308299372533799</v>
      </c>
      <c r="R45" s="3">
        <f>202.25</f>
        <v>202.25</v>
      </c>
      <c r="S45" s="3">
        <f>154.59</f>
        <v>154.59</v>
      </c>
      <c r="T45" s="3">
        <f t="shared" si="9"/>
        <v>47.66</v>
      </c>
      <c r="U45" s="4">
        <f t="shared" si="10"/>
        <v>1.308299372533799</v>
      </c>
      <c r="V45" s="3">
        <f>202.25</f>
        <v>202.25</v>
      </c>
      <c r="W45" s="3">
        <f>154.59</f>
        <v>154.59</v>
      </c>
      <c r="X45" s="3">
        <f t="shared" si="11"/>
        <v>47.66</v>
      </c>
      <c r="Y45" s="4">
        <f t="shared" si="12"/>
        <v>1.308299372533799</v>
      </c>
      <c r="Z45" s="3">
        <f>202.25</f>
        <v>202.25</v>
      </c>
      <c r="AA45" s="3">
        <f>154.59</f>
        <v>154.59</v>
      </c>
      <c r="AB45" s="3">
        <f t="shared" si="13"/>
        <v>47.66</v>
      </c>
      <c r="AC45" s="4">
        <f t="shared" si="14"/>
        <v>1.308299372533799</v>
      </c>
      <c r="AD45" s="3">
        <f>202.25</f>
        <v>202.25</v>
      </c>
      <c r="AE45" s="3">
        <f>154.59</f>
        <v>154.59</v>
      </c>
      <c r="AF45" s="3">
        <f t="shared" si="15"/>
        <v>47.66</v>
      </c>
      <c r="AG45" s="4">
        <f t="shared" si="16"/>
        <v>1.308299372533799</v>
      </c>
      <c r="AH45" s="3">
        <f>202.25</f>
        <v>202.25</v>
      </c>
      <c r="AI45" s="3">
        <f>154.59</f>
        <v>154.59</v>
      </c>
      <c r="AJ45" s="3">
        <f t="shared" si="17"/>
        <v>47.66</v>
      </c>
      <c r="AK45" s="4">
        <f t="shared" si="18"/>
        <v>1.308299372533799</v>
      </c>
      <c r="AL45" s="3">
        <f>202.25</f>
        <v>202.25</v>
      </c>
      <c r="AM45" s="3">
        <f>154.59</f>
        <v>154.59</v>
      </c>
      <c r="AN45" s="3">
        <f t="shared" si="19"/>
        <v>47.66</v>
      </c>
      <c r="AO45" s="4">
        <f t="shared" si="20"/>
        <v>1.308299372533799</v>
      </c>
      <c r="AP45" s="3">
        <f>202.25</f>
        <v>202.25</v>
      </c>
      <c r="AQ45" s="3">
        <f>154.59</f>
        <v>154.59</v>
      </c>
      <c r="AR45" s="3">
        <f t="shared" si="21"/>
        <v>47.66</v>
      </c>
      <c r="AS45" s="4">
        <f t="shared" si="22"/>
        <v>1.308299372533799</v>
      </c>
      <c r="AT45" s="3">
        <f t="shared" si="23"/>
        <v>2224.75</v>
      </c>
      <c r="AU45" s="3">
        <f t="shared" si="24"/>
        <v>1700.4899999999998</v>
      </c>
      <c r="AV45" s="3">
        <f t="shared" si="25"/>
        <v>524.26000000000022</v>
      </c>
      <c r="AW45" s="4">
        <f t="shared" si="26"/>
        <v>1.3082993725337992</v>
      </c>
    </row>
    <row r="46" spans="1:49">
      <c r="A46" s="1" t="s">
        <v>58</v>
      </c>
      <c r="B46" s="3">
        <f>108.9</f>
        <v>108.9</v>
      </c>
      <c r="C46" s="3">
        <f>83.24</f>
        <v>83.24</v>
      </c>
      <c r="D46" s="3">
        <f t="shared" ref="D46:D77" si="27">(B46)-(C46)</f>
        <v>25.660000000000011</v>
      </c>
      <c r="E46" s="4">
        <f t="shared" ref="E46:E77" si="28">IF(C46=0,"",(B46)/(C46))</f>
        <v>1.3082652570879387</v>
      </c>
      <c r="F46" s="3">
        <f>108.9</f>
        <v>108.9</v>
      </c>
      <c r="G46" s="3">
        <f>83.24</f>
        <v>83.24</v>
      </c>
      <c r="H46" s="3">
        <f t="shared" ref="H46:H77" si="29">(F46)-(G46)</f>
        <v>25.660000000000011</v>
      </c>
      <c r="I46" s="4">
        <f t="shared" ref="I46:I77" si="30">IF(G46=0,"",(F46)/(G46))</f>
        <v>1.3082652570879387</v>
      </c>
      <c r="J46" s="3">
        <f>108.9</f>
        <v>108.9</v>
      </c>
      <c r="K46" s="3">
        <f>83.24</f>
        <v>83.24</v>
      </c>
      <c r="L46" s="3">
        <f t="shared" ref="L46:L77" si="31">(J46)-(K46)</f>
        <v>25.660000000000011</v>
      </c>
      <c r="M46" s="4">
        <f t="shared" ref="M46:M77" si="32">IF(K46=0,"",(J46)/(K46))</f>
        <v>1.3082652570879387</v>
      </c>
      <c r="N46" s="3">
        <f>108.9</f>
        <v>108.9</v>
      </c>
      <c r="O46" s="3">
        <f>83.24</f>
        <v>83.24</v>
      </c>
      <c r="P46" s="3">
        <f t="shared" ref="P46:P77" si="33">(N46)-(O46)</f>
        <v>25.660000000000011</v>
      </c>
      <c r="Q46" s="4">
        <f t="shared" ref="Q46:Q77" si="34">IF(O46=0,"",(N46)/(O46))</f>
        <v>1.3082652570879387</v>
      </c>
      <c r="R46" s="3">
        <f>108.9</f>
        <v>108.9</v>
      </c>
      <c r="S46" s="3">
        <f>83.24</f>
        <v>83.24</v>
      </c>
      <c r="T46" s="3">
        <f t="shared" ref="T46:T77" si="35">(R46)-(S46)</f>
        <v>25.660000000000011</v>
      </c>
      <c r="U46" s="4">
        <f t="shared" ref="U46:U77" si="36">IF(S46=0,"",(R46)/(S46))</f>
        <v>1.3082652570879387</v>
      </c>
      <c r="V46" s="3">
        <f>108.9</f>
        <v>108.9</v>
      </c>
      <c r="W46" s="3">
        <f>83.24</f>
        <v>83.24</v>
      </c>
      <c r="X46" s="3">
        <f t="shared" ref="X46:X77" si="37">(V46)-(W46)</f>
        <v>25.660000000000011</v>
      </c>
      <c r="Y46" s="4">
        <f t="shared" ref="Y46:Y77" si="38">IF(W46=0,"",(V46)/(W46))</f>
        <v>1.3082652570879387</v>
      </c>
      <c r="Z46" s="3">
        <f>108.9</f>
        <v>108.9</v>
      </c>
      <c r="AA46" s="3">
        <f>83.24</f>
        <v>83.24</v>
      </c>
      <c r="AB46" s="3">
        <f t="shared" ref="AB46:AB77" si="39">(Z46)-(AA46)</f>
        <v>25.660000000000011</v>
      </c>
      <c r="AC46" s="4">
        <f t="shared" ref="AC46:AC77" si="40">IF(AA46=0,"",(Z46)/(AA46))</f>
        <v>1.3082652570879387</v>
      </c>
      <c r="AD46" s="3">
        <f>108.9</f>
        <v>108.9</v>
      </c>
      <c r="AE46" s="3">
        <f>83.24</f>
        <v>83.24</v>
      </c>
      <c r="AF46" s="3">
        <f t="shared" ref="AF46:AF77" si="41">(AD46)-(AE46)</f>
        <v>25.660000000000011</v>
      </c>
      <c r="AG46" s="4">
        <f t="shared" ref="AG46:AG77" si="42">IF(AE46=0,"",(AD46)/(AE46))</f>
        <v>1.3082652570879387</v>
      </c>
      <c r="AH46" s="3">
        <f>108.9</f>
        <v>108.9</v>
      </c>
      <c r="AI46" s="3">
        <f>83.24</f>
        <v>83.24</v>
      </c>
      <c r="AJ46" s="3">
        <f t="shared" ref="AJ46:AJ77" si="43">(AH46)-(AI46)</f>
        <v>25.660000000000011</v>
      </c>
      <c r="AK46" s="4">
        <f t="shared" ref="AK46:AK77" si="44">IF(AI46=0,"",(AH46)/(AI46))</f>
        <v>1.3082652570879387</v>
      </c>
      <c r="AL46" s="3">
        <f>108.9</f>
        <v>108.9</v>
      </c>
      <c r="AM46" s="3">
        <f>83.24</f>
        <v>83.24</v>
      </c>
      <c r="AN46" s="3">
        <f t="shared" ref="AN46:AN77" si="45">(AL46)-(AM46)</f>
        <v>25.660000000000011</v>
      </c>
      <c r="AO46" s="4">
        <f t="shared" ref="AO46:AO77" si="46">IF(AM46=0,"",(AL46)/(AM46))</f>
        <v>1.3082652570879387</v>
      </c>
      <c r="AP46" s="3">
        <f>108.9</f>
        <v>108.9</v>
      </c>
      <c r="AQ46" s="3">
        <f>83.24</f>
        <v>83.24</v>
      </c>
      <c r="AR46" s="3">
        <f t="shared" ref="AR46:AR77" si="47">(AP46)-(AQ46)</f>
        <v>25.660000000000011</v>
      </c>
      <c r="AS46" s="4">
        <f t="shared" ref="AS46:AS77" si="48">IF(AQ46=0,"",(AP46)/(AQ46))</f>
        <v>1.3082652570879387</v>
      </c>
      <c r="AT46" s="3">
        <f t="shared" ref="AT46:AT77" si="49">((((((((((B46)+(F46))+(J46))+(N46))+(R46))+(V46))+(Z46))+(AD46))+(AH46))+(AL46))+(AP46)</f>
        <v>1197.9000000000001</v>
      </c>
      <c r="AU46" s="3">
        <f t="shared" ref="AU46:AU77" si="50">((((((((((C46)+(G46))+(K46))+(O46))+(S46))+(W46))+(AA46))+(AE46))+(AI46))+(AM46))+(AQ46)</f>
        <v>915.64</v>
      </c>
      <c r="AV46" s="3">
        <f t="shared" ref="AV46:AV77" si="51">(AT46)-(AU46)</f>
        <v>282.2600000000001</v>
      </c>
      <c r="AW46" s="4">
        <f t="shared" ref="AW46:AW77" si="52">IF(AU46=0,"",(AT46)/(AU46))</f>
        <v>1.3082652570879385</v>
      </c>
    </row>
    <row r="47" spans="1:49">
      <c r="A47" s="1" t="s">
        <v>59</v>
      </c>
      <c r="B47" s="3">
        <f>0</f>
        <v>0</v>
      </c>
      <c r="C47" s="2"/>
      <c r="D47" s="3">
        <f t="shared" si="27"/>
        <v>0</v>
      </c>
      <c r="E47" s="4" t="str">
        <f t="shared" si="28"/>
        <v/>
      </c>
      <c r="F47" s="3">
        <f>0</f>
        <v>0</v>
      </c>
      <c r="G47" s="2"/>
      <c r="H47" s="3">
        <f t="shared" si="29"/>
        <v>0</v>
      </c>
      <c r="I47" s="4" t="str">
        <f t="shared" si="30"/>
        <v/>
      </c>
      <c r="J47" s="3">
        <f>0</f>
        <v>0</v>
      </c>
      <c r="K47" s="2"/>
      <c r="L47" s="3">
        <f t="shared" si="31"/>
        <v>0</v>
      </c>
      <c r="M47" s="4" t="str">
        <f t="shared" si="32"/>
        <v/>
      </c>
      <c r="N47" s="3">
        <f>0</f>
        <v>0</v>
      </c>
      <c r="O47" s="2"/>
      <c r="P47" s="3">
        <f t="shared" si="33"/>
        <v>0</v>
      </c>
      <c r="Q47" s="4" t="str">
        <f t="shared" si="34"/>
        <v/>
      </c>
      <c r="R47" s="3">
        <f>0</f>
        <v>0</v>
      </c>
      <c r="S47" s="2"/>
      <c r="T47" s="3">
        <f t="shared" si="35"/>
        <v>0</v>
      </c>
      <c r="U47" s="4" t="str">
        <f t="shared" si="36"/>
        <v/>
      </c>
      <c r="V47" s="3">
        <f>0</f>
        <v>0</v>
      </c>
      <c r="W47" s="2"/>
      <c r="X47" s="3">
        <f t="shared" si="37"/>
        <v>0</v>
      </c>
      <c r="Y47" s="4" t="str">
        <f t="shared" si="38"/>
        <v/>
      </c>
      <c r="Z47" s="3">
        <f>0</f>
        <v>0</v>
      </c>
      <c r="AA47" s="2"/>
      <c r="AB47" s="3">
        <f t="shared" si="39"/>
        <v>0</v>
      </c>
      <c r="AC47" s="4" t="str">
        <f t="shared" si="40"/>
        <v/>
      </c>
      <c r="AD47" s="3">
        <f>0</f>
        <v>0</v>
      </c>
      <c r="AE47" s="2"/>
      <c r="AF47" s="3">
        <f t="shared" si="41"/>
        <v>0</v>
      </c>
      <c r="AG47" s="4" t="str">
        <f t="shared" si="42"/>
        <v/>
      </c>
      <c r="AH47" s="3">
        <f>0</f>
        <v>0</v>
      </c>
      <c r="AI47" s="2"/>
      <c r="AJ47" s="3">
        <f t="shared" si="43"/>
        <v>0</v>
      </c>
      <c r="AK47" s="4" t="str">
        <f t="shared" si="44"/>
        <v/>
      </c>
      <c r="AL47" s="3">
        <f>0</f>
        <v>0</v>
      </c>
      <c r="AM47" s="2"/>
      <c r="AN47" s="3">
        <f t="shared" si="45"/>
        <v>0</v>
      </c>
      <c r="AO47" s="4" t="str">
        <f t="shared" si="46"/>
        <v/>
      </c>
      <c r="AP47" s="3">
        <f>0</f>
        <v>0</v>
      </c>
      <c r="AQ47" s="2"/>
      <c r="AR47" s="3">
        <f t="shared" si="47"/>
        <v>0</v>
      </c>
      <c r="AS47" s="4" t="str">
        <f t="shared" si="48"/>
        <v/>
      </c>
      <c r="AT47" s="3">
        <f t="shared" si="49"/>
        <v>0</v>
      </c>
      <c r="AU47" s="3">
        <f t="shared" si="50"/>
        <v>0</v>
      </c>
      <c r="AV47" s="3">
        <f t="shared" si="51"/>
        <v>0</v>
      </c>
      <c r="AW47" s="4" t="str">
        <f t="shared" si="52"/>
        <v/>
      </c>
    </row>
    <row r="48" spans="1:49">
      <c r="A48" s="1" t="s">
        <v>60</v>
      </c>
      <c r="B48" s="5">
        <f>(((B44)+(B45))+(B46))+(B47)</f>
        <v>311.14999999999998</v>
      </c>
      <c r="C48" s="5">
        <f>(((C44)+(C45))+(C46))+(C47)</f>
        <v>237.82999999999998</v>
      </c>
      <c r="D48" s="5">
        <f t="shared" si="27"/>
        <v>73.319999999999993</v>
      </c>
      <c r="E48" s="6">
        <f t="shared" si="28"/>
        <v>1.3082874321994702</v>
      </c>
      <c r="F48" s="5">
        <f>(((F44)+(F45))+(F46))+(F47)</f>
        <v>311.14999999999998</v>
      </c>
      <c r="G48" s="5">
        <f>(((G44)+(G45))+(G46))+(G47)</f>
        <v>237.82999999999998</v>
      </c>
      <c r="H48" s="5">
        <f t="shared" si="29"/>
        <v>73.319999999999993</v>
      </c>
      <c r="I48" s="6">
        <f t="shared" si="30"/>
        <v>1.3082874321994702</v>
      </c>
      <c r="J48" s="5">
        <f>(((J44)+(J45))+(J46))+(J47)</f>
        <v>311.14999999999998</v>
      </c>
      <c r="K48" s="5">
        <f>(((K44)+(K45))+(K46))+(K47)</f>
        <v>237.82999999999998</v>
      </c>
      <c r="L48" s="5">
        <f t="shared" si="31"/>
        <v>73.319999999999993</v>
      </c>
      <c r="M48" s="6">
        <f t="shared" si="32"/>
        <v>1.3082874321994702</v>
      </c>
      <c r="N48" s="5">
        <f>(((N44)+(N45))+(N46))+(N47)</f>
        <v>311.14999999999998</v>
      </c>
      <c r="O48" s="5">
        <f>(((O44)+(O45))+(O46))+(O47)</f>
        <v>237.82999999999998</v>
      </c>
      <c r="P48" s="5">
        <f t="shared" si="33"/>
        <v>73.319999999999993</v>
      </c>
      <c r="Q48" s="6">
        <f t="shared" si="34"/>
        <v>1.3082874321994702</v>
      </c>
      <c r="R48" s="5">
        <f>(((R44)+(R45))+(R46))+(R47)</f>
        <v>311.14999999999998</v>
      </c>
      <c r="S48" s="5">
        <f>(((S44)+(S45))+(S46))+(S47)</f>
        <v>237.82999999999998</v>
      </c>
      <c r="T48" s="5">
        <f t="shared" si="35"/>
        <v>73.319999999999993</v>
      </c>
      <c r="U48" s="6">
        <f t="shared" si="36"/>
        <v>1.3082874321994702</v>
      </c>
      <c r="V48" s="5">
        <f>(((V44)+(V45))+(V46))+(V47)</f>
        <v>311.14999999999998</v>
      </c>
      <c r="W48" s="5">
        <f>(((W44)+(W45))+(W46))+(W47)</f>
        <v>237.82999999999998</v>
      </c>
      <c r="X48" s="5">
        <f t="shared" si="37"/>
        <v>73.319999999999993</v>
      </c>
      <c r="Y48" s="6">
        <f t="shared" si="38"/>
        <v>1.3082874321994702</v>
      </c>
      <c r="Z48" s="5">
        <f>(((Z44)+(Z45))+(Z46))+(Z47)</f>
        <v>311.14999999999998</v>
      </c>
      <c r="AA48" s="5">
        <f>(((AA44)+(AA45))+(AA46))+(AA47)</f>
        <v>237.82999999999998</v>
      </c>
      <c r="AB48" s="5">
        <f t="shared" si="39"/>
        <v>73.319999999999993</v>
      </c>
      <c r="AC48" s="6">
        <f t="shared" si="40"/>
        <v>1.3082874321994702</v>
      </c>
      <c r="AD48" s="5">
        <f>(((AD44)+(AD45))+(AD46))+(AD47)</f>
        <v>311.14999999999998</v>
      </c>
      <c r="AE48" s="5">
        <f>(((AE44)+(AE45))+(AE46))+(AE47)</f>
        <v>237.82999999999998</v>
      </c>
      <c r="AF48" s="5">
        <f t="shared" si="41"/>
        <v>73.319999999999993</v>
      </c>
      <c r="AG48" s="6">
        <f t="shared" si="42"/>
        <v>1.3082874321994702</v>
      </c>
      <c r="AH48" s="5">
        <f>(((AH44)+(AH45))+(AH46))+(AH47)</f>
        <v>311.14999999999998</v>
      </c>
      <c r="AI48" s="5">
        <f>(((AI44)+(AI45))+(AI46))+(AI47)</f>
        <v>237.82999999999998</v>
      </c>
      <c r="AJ48" s="5">
        <f t="shared" si="43"/>
        <v>73.319999999999993</v>
      </c>
      <c r="AK48" s="6">
        <f t="shared" si="44"/>
        <v>1.3082874321994702</v>
      </c>
      <c r="AL48" s="5">
        <f>(((AL44)+(AL45))+(AL46))+(AL47)</f>
        <v>311.14999999999998</v>
      </c>
      <c r="AM48" s="5">
        <f>(((AM44)+(AM45))+(AM46))+(AM47)</f>
        <v>237.82999999999998</v>
      </c>
      <c r="AN48" s="5">
        <f t="shared" si="45"/>
        <v>73.319999999999993</v>
      </c>
      <c r="AO48" s="6">
        <f t="shared" si="46"/>
        <v>1.3082874321994702</v>
      </c>
      <c r="AP48" s="5">
        <f>(((AP44)+(AP45))+(AP46))+(AP47)</f>
        <v>311.14999999999998</v>
      </c>
      <c r="AQ48" s="5">
        <f>(((AQ44)+(AQ45))+(AQ46))+(AQ47)</f>
        <v>237.82999999999998</v>
      </c>
      <c r="AR48" s="5">
        <f t="shared" si="47"/>
        <v>73.319999999999993</v>
      </c>
      <c r="AS48" s="6">
        <f t="shared" si="48"/>
        <v>1.3082874321994702</v>
      </c>
      <c r="AT48" s="5">
        <f t="shared" si="49"/>
        <v>3422.6500000000005</v>
      </c>
      <c r="AU48" s="5">
        <f t="shared" si="50"/>
        <v>2616.1299999999997</v>
      </c>
      <c r="AV48" s="5">
        <f t="shared" si="51"/>
        <v>806.52000000000089</v>
      </c>
      <c r="AW48" s="6">
        <f t="shared" si="52"/>
        <v>1.3082874321994706</v>
      </c>
    </row>
    <row r="49" spans="1:49">
      <c r="A49" s="1" t="s">
        <v>61</v>
      </c>
      <c r="B49" s="2"/>
      <c r="C49" s="2"/>
      <c r="D49" s="3">
        <f t="shared" si="27"/>
        <v>0</v>
      </c>
      <c r="E49" s="4" t="str">
        <f t="shared" si="28"/>
        <v/>
      </c>
      <c r="F49" s="2"/>
      <c r="G49" s="2"/>
      <c r="H49" s="3">
        <f t="shared" si="29"/>
        <v>0</v>
      </c>
      <c r="I49" s="4" t="str">
        <f t="shared" si="30"/>
        <v/>
      </c>
      <c r="J49" s="2"/>
      <c r="K49" s="2"/>
      <c r="L49" s="3">
        <f t="shared" si="31"/>
        <v>0</v>
      </c>
      <c r="M49" s="4" t="str">
        <f t="shared" si="32"/>
        <v/>
      </c>
      <c r="N49" s="2"/>
      <c r="O49" s="2"/>
      <c r="P49" s="3">
        <f t="shared" si="33"/>
        <v>0</v>
      </c>
      <c r="Q49" s="4" t="str">
        <f t="shared" si="34"/>
        <v/>
      </c>
      <c r="R49" s="2"/>
      <c r="S49" s="2"/>
      <c r="T49" s="3">
        <f t="shared" si="35"/>
        <v>0</v>
      </c>
      <c r="U49" s="4" t="str">
        <f t="shared" si="36"/>
        <v/>
      </c>
      <c r="V49" s="2"/>
      <c r="W49" s="2"/>
      <c r="X49" s="3">
        <f t="shared" si="37"/>
        <v>0</v>
      </c>
      <c r="Y49" s="4" t="str">
        <f t="shared" si="38"/>
        <v/>
      </c>
      <c r="Z49" s="2"/>
      <c r="AA49" s="2"/>
      <c r="AB49" s="3">
        <f t="shared" si="39"/>
        <v>0</v>
      </c>
      <c r="AC49" s="4" t="str">
        <f t="shared" si="40"/>
        <v/>
      </c>
      <c r="AD49" s="2"/>
      <c r="AE49" s="2"/>
      <c r="AF49" s="3">
        <f t="shared" si="41"/>
        <v>0</v>
      </c>
      <c r="AG49" s="4" t="str">
        <f t="shared" si="42"/>
        <v/>
      </c>
      <c r="AH49" s="2"/>
      <c r="AI49" s="2"/>
      <c r="AJ49" s="3">
        <f t="shared" si="43"/>
        <v>0</v>
      </c>
      <c r="AK49" s="4" t="str">
        <f t="shared" si="44"/>
        <v/>
      </c>
      <c r="AL49" s="2"/>
      <c r="AM49" s="2"/>
      <c r="AN49" s="3">
        <f t="shared" si="45"/>
        <v>0</v>
      </c>
      <c r="AO49" s="4" t="str">
        <f t="shared" si="46"/>
        <v/>
      </c>
      <c r="AP49" s="2"/>
      <c r="AQ49" s="2"/>
      <c r="AR49" s="3">
        <f t="shared" si="47"/>
        <v>0</v>
      </c>
      <c r="AS49" s="4" t="str">
        <f t="shared" si="48"/>
        <v/>
      </c>
      <c r="AT49" s="3">
        <f t="shared" si="49"/>
        <v>0</v>
      </c>
      <c r="AU49" s="3">
        <f t="shared" si="50"/>
        <v>0</v>
      </c>
      <c r="AV49" s="3">
        <f t="shared" si="51"/>
        <v>0</v>
      </c>
      <c r="AW49" s="4" t="str">
        <f t="shared" si="52"/>
        <v/>
      </c>
    </row>
    <row r="50" spans="1:49">
      <c r="A50" s="1" t="s">
        <v>62</v>
      </c>
      <c r="B50" s="3">
        <f>1334.45</f>
        <v>1334.45</v>
      </c>
      <c r="C50" s="3">
        <f>833.73</f>
        <v>833.73</v>
      </c>
      <c r="D50" s="3">
        <f t="shared" si="27"/>
        <v>500.72</v>
      </c>
      <c r="E50" s="4">
        <f t="shared" si="28"/>
        <v>1.6005781248125892</v>
      </c>
      <c r="F50" s="3">
        <f>759.69</f>
        <v>759.69</v>
      </c>
      <c r="G50" s="3">
        <f>833.73</f>
        <v>833.73</v>
      </c>
      <c r="H50" s="3">
        <f t="shared" si="29"/>
        <v>-74.039999999999964</v>
      </c>
      <c r="I50" s="4">
        <f t="shared" si="30"/>
        <v>0.91119427152675336</v>
      </c>
      <c r="J50" s="3">
        <f>2123.23</f>
        <v>2123.23</v>
      </c>
      <c r="K50" s="3">
        <f>833.73</f>
        <v>833.73</v>
      </c>
      <c r="L50" s="3">
        <f t="shared" si="31"/>
        <v>1289.5</v>
      </c>
      <c r="M50" s="4">
        <f t="shared" si="32"/>
        <v>2.5466637880368945</v>
      </c>
      <c r="N50" s="3">
        <f>540.31</f>
        <v>540.30999999999995</v>
      </c>
      <c r="O50" s="3">
        <f>833.73</f>
        <v>833.73</v>
      </c>
      <c r="P50" s="3">
        <f t="shared" si="33"/>
        <v>-293.42000000000007</v>
      </c>
      <c r="Q50" s="4">
        <f t="shared" si="34"/>
        <v>0.64806352176364046</v>
      </c>
      <c r="R50" s="3">
        <f>865.64</f>
        <v>865.64</v>
      </c>
      <c r="S50" s="3">
        <f>833.73</f>
        <v>833.73</v>
      </c>
      <c r="T50" s="3">
        <f t="shared" si="35"/>
        <v>31.909999999999968</v>
      </c>
      <c r="U50" s="4">
        <f t="shared" si="36"/>
        <v>1.0382737816799203</v>
      </c>
      <c r="V50" s="3">
        <f>650</f>
        <v>650</v>
      </c>
      <c r="W50" s="3">
        <f>833.73</f>
        <v>833.73</v>
      </c>
      <c r="X50" s="3">
        <f t="shared" si="37"/>
        <v>-183.73000000000002</v>
      </c>
      <c r="Y50" s="4">
        <f t="shared" si="38"/>
        <v>0.77962889664519686</v>
      </c>
      <c r="Z50" s="3">
        <f>478.89</f>
        <v>478.89</v>
      </c>
      <c r="AA50" s="3">
        <f>833.73</f>
        <v>833.73</v>
      </c>
      <c r="AB50" s="3">
        <f t="shared" si="39"/>
        <v>-354.84000000000003</v>
      </c>
      <c r="AC50" s="4">
        <f t="shared" si="40"/>
        <v>0.57439458817602818</v>
      </c>
      <c r="AD50" s="3">
        <f>529.45</f>
        <v>529.45000000000005</v>
      </c>
      <c r="AE50" s="3">
        <f>833.73</f>
        <v>833.73</v>
      </c>
      <c r="AF50" s="3">
        <f t="shared" si="41"/>
        <v>-304.27999999999997</v>
      </c>
      <c r="AG50" s="4">
        <f t="shared" si="42"/>
        <v>0.63503772204430697</v>
      </c>
      <c r="AH50" s="3">
        <f>919.7</f>
        <v>919.7</v>
      </c>
      <c r="AI50" s="3">
        <f>833.73</f>
        <v>833.73</v>
      </c>
      <c r="AJ50" s="3">
        <f t="shared" si="43"/>
        <v>85.970000000000027</v>
      </c>
      <c r="AK50" s="4">
        <f t="shared" si="44"/>
        <v>1.1031149172993655</v>
      </c>
      <c r="AL50" s="3">
        <f>890.45</f>
        <v>890.45</v>
      </c>
      <c r="AM50" s="3">
        <f>833.73</f>
        <v>833.73</v>
      </c>
      <c r="AN50" s="3">
        <f t="shared" si="45"/>
        <v>56.720000000000027</v>
      </c>
      <c r="AO50" s="4">
        <f t="shared" si="46"/>
        <v>1.0680316169503317</v>
      </c>
      <c r="AP50" s="3">
        <f>-1118.9</f>
        <v>-1118.9000000000001</v>
      </c>
      <c r="AQ50" s="3">
        <f>833.73</f>
        <v>833.73</v>
      </c>
      <c r="AR50" s="3">
        <f t="shared" si="47"/>
        <v>-1952.63</v>
      </c>
      <c r="AS50" s="4">
        <f t="shared" si="48"/>
        <v>-1.3420411883943244</v>
      </c>
      <c r="AT50" s="3">
        <f t="shared" si="49"/>
        <v>7972.9100000000017</v>
      </c>
      <c r="AU50" s="3">
        <f t="shared" si="50"/>
        <v>9171.029999999997</v>
      </c>
      <c r="AV50" s="3">
        <f t="shared" si="51"/>
        <v>-1198.1199999999953</v>
      </c>
      <c r="AW50" s="4">
        <f t="shared" si="52"/>
        <v>0.8693581855037007</v>
      </c>
    </row>
    <row r="51" spans="1:49">
      <c r="A51" s="1" t="s">
        <v>63</v>
      </c>
      <c r="B51" s="3">
        <f>718.55</f>
        <v>718.55</v>
      </c>
      <c r="C51" s="3">
        <f>448.93</f>
        <v>448.93</v>
      </c>
      <c r="D51" s="3">
        <f t="shared" si="27"/>
        <v>269.61999999999995</v>
      </c>
      <c r="E51" s="4">
        <f t="shared" si="28"/>
        <v>1.6005836099169135</v>
      </c>
      <c r="F51" s="3">
        <f>409.06</f>
        <v>409.06</v>
      </c>
      <c r="G51" s="3">
        <f>448.93</f>
        <v>448.93</v>
      </c>
      <c r="H51" s="3">
        <f t="shared" si="29"/>
        <v>-39.870000000000005</v>
      </c>
      <c r="I51" s="4">
        <f t="shared" si="30"/>
        <v>0.91118882676586554</v>
      </c>
      <c r="J51" s="3">
        <f>1143.28</f>
        <v>1143.28</v>
      </c>
      <c r="K51" s="3">
        <f>448.93</f>
        <v>448.93</v>
      </c>
      <c r="L51" s="3">
        <f t="shared" si="31"/>
        <v>694.34999999999991</v>
      </c>
      <c r="M51" s="4">
        <f t="shared" si="32"/>
        <v>2.5466776557592499</v>
      </c>
      <c r="N51" s="3">
        <f>290.94</f>
        <v>290.94</v>
      </c>
      <c r="O51" s="3">
        <f>448.93</f>
        <v>448.93</v>
      </c>
      <c r="P51" s="3">
        <f t="shared" si="33"/>
        <v>-157.99</v>
      </c>
      <c r="Q51" s="4">
        <f t="shared" si="34"/>
        <v>0.64807431002606197</v>
      </c>
      <c r="R51" s="3">
        <f>466.11</f>
        <v>466.11</v>
      </c>
      <c r="S51" s="3">
        <f>448.93</f>
        <v>448.93</v>
      </c>
      <c r="T51" s="3">
        <f t="shared" si="35"/>
        <v>17.180000000000007</v>
      </c>
      <c r="U51" s="4">
        <f t="shared" si="36"/>
        <v>1.0382687724144075</v>
      </c>
      <c r="V51" s="3">
        <f>350</f>
        <v>350</v>
      </c>
      <c r="W51" s="3">
        <f>448.93</f>
        <v>448.93</v>
      </c>
      <c r="X51" s="3">
        <f t="shared" si="37"/>
        <v>-98.93</v>
      </c>
      <c r="Y51" s="4">
        <f t="shared" si="38"/>
        <v>0.7796315683959637</v>
      </c>
      <c r="Z51" s="3">
        <f>257.86</f>
        <v>257.86</v>
      </c>
      <c r="AA51" s="3">
        <f>448.93</f>
        <v>448.93</v>
      </c>
      <c r="AB51" s="3">
        <f t="shared" si="39"/>
        <v>-191.07</v>
      </c>
      <c r="AC51" s="4">
        <f t="shared" si="40"/>
        <v>0.57438798921880918</v>
      </c>
      <c r="AD51" s="3">
        <f>285.1</f>
        <v>285.10000000000002</v>
      </c>
      <c r="AE51" s="3">
        <f>448.93</f>
        <v>448.93</v>
      </c>
      <c r="AF51" s="3">
        <f t="shared" si="41"/>
        <v>-163.82999999999998</v>
      </c>
      <c r="AG51" s="4">
        <f t="shared" si="42"/>
        <v>0.63506560042768367</v>
      </c>
      <c r="AH51" s="3">
        <f>495.22</f>
        <v>495.22</v>
      </c>
      <c r="AI51" s="3">
        <f>448.93</f>
        <v>448.93</v>
      </c>
      <c r="AJ51" s="3">
        <f t="shared" si="43"/>
        <v>46.29000000000002</v>
      </c>
      <c r="AK51" s="4">
        <f t="shared" si="44"/>
        <v>1.1031118437172833</v>
      </c>
      <c r="AL51" s="3">
        <f>479.47</f>
        <v>479.47</v>
      </c>
      <c r="AM51" s="3">
        <f>448.93</f>
        <v>448.93</v>
      </c>
      <c r="AN51" s="3">
        <f t="shared" si="45"/>
        <v>30.54000000000002</v>
      </c>
      <c r="AO51" s="4">
        <f t="shared" si="46"/>
        <v>1.068028423139465</v>
      </c>
      <c r="AP51" s="3">
        <f>-602.49</f>
        <v>-602.49</v>
      </c>
      <c r="AQ51" s="3">
        <f>448.93</f>
        <v>448.93</v>
      </c>
      <c r="AR51" s="3">
        <f t="shared" si="47"/>
        <v>-1051.42</v>
      </c>
      <c r="AS51" s="4">
        <f t="shared" si="48"/>
        <v>-1.342057781836812</v>
      </c>
      <c r="AT51" s="3">
        <f t="shared" si="49"/>
        <v>4293.1000000000004</v>
      </c>
      <c r="AU51" s="3">
        <f t="shared" si="50"/>
        <v>4938.2299999999996</v>
      </c>
      <c r="AV51" s="3">
        <f t="shared" si="51"/>
        <v>-645.1299999999992</v>
      </c>
      <c r="AW51" s="4">
        <f t="shared" si="52"/>
        <v>0.86936007435862661</v>
      </c>
    </row>
    <row r="52" spans="1:49">
      <c r="A52" s="1" t="s">
        <v>64</v>
      </c>
      <c r="B52" s="3">
        <f>0</f>
        <v>0</v>
      </c>
      <c r="C52" s="2"/>
      <c r="D52" s="3">
        <f t="shared" si="27"/>
        <v>0</v>
      </c>
      <c r="E52" s="4" t="str">
        <f t="shared" si="28"/>
        <v/>
      </c>
      <c r="F52" s="3">
        <f>0</f>
        <v>0</v>
      </c>
      <c r="G52" s="2"/>
      <c r="H52" s="3">
        <f t="shared" si="29"/>
        <v>0</v>
      </c>
      <c r="I52" s="4" t="str">
        <f t="shared" si="30"/>
        <v/>
      </c>
      <c r="J52" s="3">
        <f>-2550</f>
        <v>-2550</v>
      </c>
      <c r="K52" s="2"/>
      <c r="L52" s="3">
        <f t="shared" si="31"/>
        <v>-2550</v>
      </c>
      <c r="M52" s="4" t="str">
        <f t="shared" si="32"/>
        <v/>
      </c>
      <c r="N52" s="3">
        <f>0</f>
        <v>0</v>
      </c>
      <c r="O52" s="2"/>
      <c r="P52" s="3">
        <f t="shared" si="33"/>
        <v>0</v>
      </c>
      <c r="Q52" s="4" t="str">
        <f t="shared" si="34"/>
        <v/>
      </c>
      <c r="R52" s="3">
        <f>0</f>
        <v>0</v>
      </c>
      <c r="S52" s="2"/>
      <c r="T52" s="3">
        <f t="shared" si="35"/>
        <v>0</v>
      </c>
      <c r="U52" s="4" t="str">
        <f t="shared" si="36"/>
        <v/>
      </c>
      <c r="V52" s="3">
        <f>0</f>
        <v>0</v>
      </c>
      <c r="W52" s="2"/>
      <c r="X52" s="3">
        <f t="shared" si="37"/>
        <v>0</v>
      </c>
      <c r="Y52" s="4" t="str">
        <f t="shared" si="38"/>
        <v/>
      </c>
      <c r="Z52" s="3">
        <f>0</f>
        <v>0</v>
      </c>
      <c r="AA52" s="2"/>
      <c r="AB52" s="3">
        <f t="shared" si="39"/>
        <v>0</v>
      </c>
      <c r="AC52" s="4" t="str">
        <f t="shared" si="40"/>
        <v/>
      </c>
      <c r="AD52" s="3">
        <f>0</f>
        <v>0</v>
      </c>
      <c r="AE52" s="2"/>
      <c r="AF52" s="3">
        <f t="shared" si="41"/>
        <v>0</v>
      </c>
      <c r="AG52" s="4" t="str">
        <f t="shared" si="42"/>
        <v/>
      </c>
      <c r="AH52" s="3">
        <f>0</f>
        <v>0</v>
      </c>
      <c r="AI52" s="2"/>
      <c r="AJ52" s="3">
        <f t="shared" si="43"/>
        <v>0</v>
      </c>
      <c r="AK52" s="4" t="str">
        <f t="shared" si="44"/>
        <v/>
      </c>
      <c r="AL52" s="3">
        <f>0</f>
        <v>0</v>
      </c>
      <c r="AM52" s="2"/>
      <c r="AN52" s="3">
        <f t="shared" si="45"/>
        <v>0</v>
      </c>
      <c r="AO52" s="4" t="str">
        <f t="shared" si="46"/>
        <v/>
      </c>
      <c r="AP52" s="3">
        <f>2550</f>
        <v>2550</v>
      </c>
      <c r="AQ52" s="2"/>
      <c r="AR52" s="3">
        <f t="shared" si="47"/>
        <v>2550</v>
      </c>
      <c r="AS52" s="4" t="str">
        <f t="shared" si="48"/>
        <v/>
      </c>
      <c r="AT52" s="3">
        <f t="shared" si="49"/>
        <v>0</v>
      </c>
      <c r="AU52" s="3">
        <f t="shared" si="50"/>
        <v>0</v>
      </c>
      <c r="AV52" s="3">
        <f t="shared" si="51"/>
        <v>0</v>
      </c>
      <c r="AW52" s="4" t="str">
        <f t="shared" si="52"/>
        <v/>
      </c>
    </row>
    <row r="53" spans="1:49">
      <c r="A53" s="1" t="s">
        <v>65</v>
      </c>
      <c r="B53" s="5">
        <f>(((B49)+(B50))+(B51))+(B52)</f>
        <v>2053</v>
      </c>
      <c r="C53" s="5">
        <f>(((C49)+(C50))+(C51))+(C52)</f>
        <v>1282.6600000000001</v>
      </c>
      <c r="D53" s="5">
        <f t="shared" si="27"/>
        <v>770.33999999999992</v>
      </c>
      <c r="E53" s="6">
        <f t="shared" si="28"/>
        <v>1.6005800445948262</v>
      </c>
      <c r="F53" s="5">
        <f>(((F49)+(F50))+(F51))+(F52)</f>
        <v>1168.75</v>
      </c>
      <c r="G53" s="5">
        <f>(((G49)+(G50))+(G51))+(G52)</f>
        <v>1282.6600000000001</v>
      </c>
      <c r="H53" s="5">
        <f t="shared" si="29"/>
        <v>-113.91000000000008</v>
      </c>
      <c r="I53" s="6">
        <f t="shared" si="30"/>
        <v>0.91119236586468744</v>
      </c>
      <c r="J53" s="5">
        <f>(((J49)+(J50))+(J51))+(J52)</f>
        <v>716.51000000000022</v>
      </c>
      <c r="K53" s="5">
        <f>(((K49)+(K50))+(K51))+(K52)</f>
        <v>1282.6600000000001</v>
      </c>
      <c r="L53" s="5">
        <f t="shared" si="31"/>
        <v>-566.14999999999986</v>
      </c>
      <c r="M53" s="6">
        <f t="shared" si="32"/>
        <v>0.55861257075140736</v>
      </c>
      <c r="N53" s="5">
        <f>(((N49)+(N50))+(N51))+(N52)</f>
        <v>831.25</v>
      </c>
      <c r="O53" s="5">
        <f>(((O49)+(O50))+(O51))+(O52)</f>
        <v>1282.6600000000001</v>
      </c>
      <c r="P53" s="5">
        <f t="shared" si="33"/>
        <v>-451.41000000000008</v>
      </c>
      <c r="Q53" s="6">
        <f t="shared" si="34"/>
        <v>0.64806729764707716</v>
      </c>
      <c r="R53" s="5">
        <f>(((R49)+(R50))+(R51))+(R52)</f>
        <v>1331.75</v>
      </c>
      <c r="S53" s="5">
        <f>(((S49)+(S50))+(S51))+(S52)</f>
        <v>1282.6600000000001</v>
      </c>
      <c r="T53" s="5">
        <f t="shared" si="35"/>
        <v>49.089999999999918</v>
      </c>
      <c r="U53" s="6">
        <f t="shared" si="36"/>
        <v>1.0382720284408962</v>
      </c>
      <c r="V53" s="5">
        <f>(((V49)+(V50))+(V51))+(V52)</f>
        <v>1000</v>
      </c>
      <c r="W53" s="5">
        <f>(((W49)+(W50))+(W51))+(W52)</f>
        <v>1282.6600000000001</v>
      </c>
      <c r="X53" s="5">
        <f t="shared" si="37"/>
        <v>-282.66000000000008</v>
      </c>
      <c r="Y53" s="6">
        <f t="shared" si="38"/>
        <v>0.7796298317558823</v>
      </c>
      <c r="Z53" s="5">
        <f>(((Z49)+(Z50))+(Z51))+(Z52)</f>
        <v>736.75</v>
      </c>
      <c r="AA53" s="5">
        <f>(((AA49)+(AA50))+(AA51))+(AA52)</f>
        <v>1282.6600000000001</v>
      </c>
      <c r="AB53" s="5">
        <f t="shared" si="39"/>
        <v>-545.91000000000008</v>
      </c>
      <c r="AC53" s="6">
        <f t="shared" si="40"/>
        <v>0.57439227854614627</v>
      </c>
      <c r="AD53" s="5">
        <f>(((AD49)+(AD50))+(AD51))+(AD52)</f>
        <v>814.55000000000007</v>
      </c>
      <c r="AE53" s="5">
        <f>(((AE49)+(AE50))+(AE51))+(AE52)</f>
        <v>1282.6600000000001</v>
      </c>
      <c r="AF53" s="5">
        <f t="shared" si="41"/>
        <v>-468.11</v>
      </c>
      <c r="AG53" s="6">
        <f t="shared" si="42"/>
        <v>0.63504747945675399</v>
      </c>
      <c r="AH53" s="5">
        <f>(((AH49)+(AH50))+(AH51))+(AH52)</f>
        <v>1414.92</v>
      </c>
      <c r="AI53" s="5">
        <f>(((AI49)+(AI50))+(AI51))+(AI52)</f>
        <v>1282.6600000000001</v>
      </c>
      <c r="AJ53" s="5">
        <f t="shared" si="43"/>
        <v>132.26</v>
      </c>
      <c r="AK53" s="6">
        <f t="shared" si="44"/>
        <v>1.103113841548033</v>
      </c>
      <c r="AL53" s="5">
        <f>(((AL49)+(AL50))+(AL51))+(AL52)</f>
        <v>1369.92</v>
      </c>
      <c r="AM53" s="5">
        <f>(((AM49)+(AM50))+(AM51))+(AM52)</f>
        <v>1282.6600000000001</v>
      </c>
      <c r="AN53" s="5">
        <f t="shared" si="45"/>
        <v>87.259999999999991</v>
      </c>
      <c r="AO53" s="6">
        <f t="shared" si="46"/>
        <v>1.0680304991190184</v>
      </c>
      <c r="AP53" s="5">
        <f>(((AP49)+(AP50))+(AP51))+(AP52)</f>
        <v>828.6099999999999</v>
      </c>
      <c r="AQ53" s="5">
        <f>(((AQ49)+(AQ50))+(AQ51))+(AQ52)</f>
        <v>1282.6600000000001</v>
      </c>
      <c r="AR53" s="5">
        <f t="shared" si="47"/>
        <v>-454.05000000000018</v>
      </c>
      <c r="AS53" s="6">
        <f t="shared" si="48"/>
        <v>0.64600907489124149</v>
      </c>
      <c r="AT53" s="5">
        <f t="shared" si="49"/>
        <v>12266.01</v>
      </c>
      <c r="AU53" s="5">
        <f t="shared" si="50"/>
        <v>14109.26</v>
      </c>
      <c r="AV53" s="5">
        <f t="shared" si="51"/>
        <v>-1843.25</v>
      </c>
      <c r="AW53" s="6">
        <f t="shared" si="52"/>
        <v>0.8693588466014518</v>
      </c>
    </row>
    <row r="54" spans="1:49">
      <c r="A54" s="1" t="s">
        <v>66</v>
      </c>
      <c r="B54" s="2"/>
      <c r="C54" s="2"/>
      <c r="D54" s="3">
        <f t="shared" si="27"/>
        <v>0</v>
      </c>
      <c r="E54" s="4" t="str">
        <f t="shared" si="28"/>
        <v/>
      </c>
      <c r="F54" s="2"/>
      <c r="G54" s="2"/>
      <c r="H54" s="3">
        <f t="shared" si="29"/>
        <v>0</v>
      </c>
      <c r="I54" s="4" t="str">
        <f t="shared" si="30"/>
        <v/>
      </c>
      <c r="J54" s="2"/>
      <c r="K54" s="2"/>
      <c r="L54" s="3">
        <f t="shared" si="31"/>
        <v>0</v>
      </c>
      <c r="M54" s="4" t="str">
        <f t="shared" si="32"/>
        <v/>
      </c>
      <c r="N54" s="2"/>
      <c r="O54" s="2"/>
      <c r="P54" s="3">
        <f t="shared" si="33"/>
        <v>0</v>
      </c>
      <c r="Q54" s="4" t="str">
        <f t="shared" si="34"/>
        <v/>
      </c>
      <c r="R54" s="2"/>
      <c r="S54" s="2"/>
      <c r="T54" s="3">
        <f t="shared" si="35"/>
        <v>0</v>
      </c>
      <c r="U54" s="4" t="str">
        <f t="shared" si="36"/>
        <v/>
      </c>
      <c r="V54" s="2"/>
      <c r="W54" s="2"/>
      <c r="X54" s="3">
        <f t="shared" si="37"/>
        <v>0</v>
      </c>
      <c r="Y54" s="4" t="str">
        <f t="shared" si="38"/>
        <v/>
      </c>
      <c r="Z54" s="2"/>
      <c r="AA54" s="2"/>
      <c r="AB54" s="3">
        <f t="shared" si="39"/>
        <v>0</v>
      </c>
      <c r="AC54" s="4" t="str">
        <f t="shared" si="40"/>
        <v/>
      </c>
      <c r="AD54" s="2"/>
      <c r="AE54" s="2"/>
      <c r="AF54" s="3">
        <f t="shared" si="41"/>
        <v>0</v>
      </c>
      <c r="AG54" s="4" t="str">
        <f t="shared" si="42"/>
        <v/>
      </c>
      <c r="AH54" s="2"/>
      <c r="AI54" s="2"/>
      <c r="AJ54" s="3">
        <f t="shared" si="43"/>
        <v>0</v>
      </c>
      <c r="AK54" s="4" t="str">
        <f t="shared" si="44"/>
        <v/>
      </c>
      <c r="AL54" s="2"/>
      <c r="AM54" s="2"/>
      <c r="AN54" s="3">
        <f t="shared" si="45"/>
        <v>0</v>
      </c>
      <c r="AO54" s="4" t="str">
        <f t="shared" si="46"/>
        <v/>
      </c>
      <c r="AP54" s="2"/>
      <c r="AQ54" s="2"/>
      <c r="AR54" s="3">
        <f t="shared" si="47"/>
        <v>0</v>
      </c>
      <c r="AS54" s="4" t="str">
        <f t="shared" si="48"/>
        <v/>
      </c>
      <c r="AT54" s="3">
        <f t="shared" si="49"/>
        <v>0</v>
      </c>
      <c r="AU54" s="3">
        <f t="shared" si="50"/>
        <v>0</v>
      </c>
      <c r="AV54" s="3">
        <f t="shared" si="51"/>
        <v>0</v>
      </c>
      <c r="AW54" s="4" t="str">
        <f t="shared" si="52"/>
        <v/>
      </c>
    </row>
    <row r="55" spans="1:49">
      <c r="A55" s="1" t="s">
        <v>67</v>
      </c>
      <c r="B55" s="3">
        <f>76.28</f>
        <v>76.28</v>
      </c>
      <c r="C55" s="3">
        <f>230.75</f>
        <v>230.75</v>
      </c>
      <c r="D55" s="3">
        <f t="shared" si="27"/>
        <v>-154.47</v>
      </c>
      <c r="E55" s="4">
        <f t="shared" si="28"/>
        <v>0.3305742145178765</v>
      </c>
      <c r="F55" s="3">
        <f>76.28</f>
        <v>76.28</v>
      </c>
      <c r="G55" s="3">
        <f>230.75</f>
        <v>230.75</v>
      </c>
      <c r="H55" s="3">
        <f t="shared" si="29"/>
        <v>-154.47</v>
      </c>
      <c r="I55" s="4">
        <f t="shared" si="30"/>
        <v>0.3305742145178765</v>
      </c>
      <c r="J55" s="3">
        <f>114.43</f>
        <v>114.43</v>
      </c>
      <c r="K55" s="3">
        <f>230.75</f>
        <v>230.75</v>
      </c>
      <c r="L55" s="3">
        <f t="shared" si="31"/>
        <v>-116.32</v>
      </c>
      <c r="M55" s="4">
        <f t="shared" si="32"/>
        <v>0.49590465872156014</v>
      </c>
      <c r="N55" s="3">
        <f>76.28</f>
        <v>76.28</v>
      </c>
      <c r="O55" s="3">
        <f>230.75</f>
        <v>230.75</v>
      </c>
      <c r="P55" s="3">
        <f t="shared" si="33"/>
        <v>-154.47</v>
      </c>
      <c r="Q55" s="4">
        <f t="shared" si="34"/>
        <v>0.3305742145178765</v>
      </c>
      <c r="R55" s="3">
        <f>76.28</f>
        <v>76.28</v>
      </c>
      <c r="S55" s="3">
        <f>230.75</f>
        <v>230.75</v>
      </c>
      <c r="T55" s="3">
        <f t="shared" si="35"/>
        <v>-154.47</v>
      </c>
      <c r="U55" s="4">
        <f t="shared" si="36"/>
        <v>0.3305742145178765</v>
      </c>
      <c r="V55" s="3">
        <f>76.28</f>
        <v>76.28</v>
      </c>
      <c r="W55" s="3">
        <f>230.75</f>
        <v>230.75</v>
      </c>
      <c r="X55" s="3">
        <f t="shared" si="37"/>
        <v>-154.47</v>
      </c>
      <c r="Y55" s="4">
        <f t="shared" si="38"/>
        <v>0.3305742145178765</v>
      </c>
      <c r="Z55" s="3">
        <f>76.28</f>
        <v>76.28</v>
      </c>
      <c r="AA55" s="3">
        <f>230.75</f>
        <v>230.75</v>
      </c>
      <c r="AB55" s="3">
        <f t="shared" si="39"/>
        <v>-154.47</v>
      </c>
      <c r="AC55" s="4">
        <f t="shared" si="40"/>
        <v>0.3305742145178765</v>
      </c>
      <c r="AD55" s="3">
        <f>76.28</f>
        <v>76.28</v>
      </c>
      <c r="AE55" s="3">
        <f>230.75</f>
        <v>230.75</v>
      </c>
      <c r="AF55" s="3">
        <f t="shared" si="41"/>
        <v>-154.47</v>
      </c>
      <c r="AG55" s="4">
        <f t="shared" si="42"/>
        <v>0.3305742145178765</v>
      </c>
      <c r="AH55" s="3">
        <f>76.28</f>
        <v>76.28</v>
      </c>
      <c r="AI55" s="3">
        <f>230.75</f>
        <v>230.75</v>
      </c>
      <c r="AJ55" s="3">
        <f t="shared" si="43"/>
        <v>-154.47</v>
      </c>
      <c r="AK55" s="4">
        <f t="shared" si="44"/>
        <v>0.3305742145178765</v>
      </c>
      <c r="AL55" s="3">
        <f>114.43</f>
        <v>114.43</v>
      </c>
      <c r="AM55" s="3">
        <f>230.75</f>
        <v>230.75</v>
      </c>
      <c r="AN55" s="3">
        <f t="shared" si="45"/>
        <v>-116.32</v>
      </c>
      <c r="AO55" s="4">
        <f t="shared" si="46"/>
        <v>0.49590465872156014</v>
      </c>
      <c r="AP55" s="3">
        <f>76.28</f>
        <v>76.28</v>
      </c>
      <c r="AQ55" s="3">
        <f>230.75</f>
        <v>230.75</v>
      </c>
      <c r="AR55" s="3">
        <f t="shared" si="47"/>
        <v>-154.47</v>
      </c>
      <c r="AS55" s="4">
        <f t="shared" si="48"/>
        <v>0.3305742145178765</v>
      </c>
      <c r="AT55" s="3">
        <f t="shared" si="49"/>
        <v>915.37999999999988</v>
      </c>
      <c r="AU55" s="3">
        <f t="shared" si="50"/>
        <v>2538.25</v>
      </c>
      <c r="AV55" s="3">
        <f t="shared" si="51"/>
        <v>-1622.8700000000001</v>
      </c>
      <c r="AW55" s="4">
        <f t="shared" si="52"/>
        <v>0.36063429528218255</v>
      </c>
    </row>
    <row r="56" spans="1:49">
      <c r="A56" s="1" t="s">
        <v>68</v>
      </c>
      <c r="B56" s="3">
        <f>41.08</f>
        <v>41.08</v>
      </c>
      <c r="C56" s="3">
        <f>124.25</f>
        <v>124.25</v>
      </c>
      <c r="D56" s="3">
        <f t="shared" si="27"/>
        <v>-83.17</v>
      </c>
      <c r="E56" s="4">
        <f t="shared" si="28"/>
        <v>0.33062374245472836</v>
      </c>
      <c r="F56" s="3">
        <f>41.08</f>
        <v>41.08</v>
      </c>
      <c r="G56" s="3">
        <f>124.25</f>
        <v>124.25</v>
      </c>
      <c r="H56" s="3">
        <f t="shared" si="29"/>
        <v>-83.17</v>
      </c>
      <c r="I56" s="4">
        <f t="shared" si="30"/>
        <v>0.33062374245472836</v>
      </c>
      <c r="J56" s="3">
        <f>61.61</f>
        <v>61.61</v>
      </c>
      <c r="K56" s="3">
        <f>124.25</f>
        <v>124.25</v>
      </c>
      <c r="L56" s="3">
        <f t="shared" si="31"/>
        <v>-62.64</v>
      </c>
      <c r="M56" s="4">
        <f t="shared" si="32"/>
        <v>0.49585513078470822</v>
      </c>
      <c r="N56" s="3">
        <f>41.08</f>
        <v>41.08</v>
      </c>
      <c r="O56" s="3">
        <f>124.25</f>
        <v>124.25</v>
      </c>
      <c r="P56" s="3">
        <f t="shared" si="33"/>
        <v>-83.17</v>
      </c>
      <c r="Q56" s="4">
        <f t="shared" si="34"/>
        <v>0.33062374245472836</v>
      </c>
      <c r="R56" s="3">
        <f>41.08</f>
        <v>41.08</v>
      </c>
      <c r="S56" s="3">
        <f>124.25</f>
        <v>124.25</v>
      </c>
      <c r="T56" s="3">
        <f t="shared" si="35"/>
        <v>-83.17</v>
      </c>
      <c r="U56" s="4">
        <f t="shared" si="36"/>
        <v>0.33062374245472836</v>
      </c>
      <c r="V56" s="3">
        <f>41.08</f>
        <v>41.08</v>
      </c>
      <c r="W56" s="3">
        <f>124.25</f>
        <v>124.25</v>
      </c>
      <c r="X56" s="3">
        <f t="shared" si="37"/>
        <v>-83.17</v>
      </c>
      <c r="Y56" s="4">
        <f t="shared" si="38"/>
        <v>0.33062374245472836</v>
      </c>
      <c r="Z56" s="3">
        <f>41.08</f>
        <v>41.08</v>
      </c>
      <c r="AA56" s="3">
        <f>124.25</f>
        <v>124.25</v>
      </c>
      <c r="AB56" s="3">
        <f t="shared" si="39"/>
        <v>-83.17</v>
      </c>
      <c r="AC56" s="4">
        <f t="shared" si="40"/>
        <v>0.33062374245472836</v>
      </c>
      <c r="AD56" s="3">
        <f>41.08</f>
        <v>41.08</v>
      </c>
      <c r="AE56" s="3">
        <f>124.25</f>
        <v>124.25</v>
      </c>
      <c r="AF56" s="3">
        <f t="shared" si="41"/>
        <v>-83.17</v>
      </c>
      <c r="AG56" s="4">
        <f t="shared" si="42"/>
        <v>0.33062374245472836</v>
      </c>
      <c r="AH56" s="3">
        <f>41.08</f>
        <v>41.08</v>
      </c>
      <c r="AI56" s="3">
        <f>124.25</f>
        <v>124.25</v>
      </c>
      <c r="AJ56" s="3">
        <f t="shared" si="43"/>
        <v>-83.17</v>
      </c>
      <c r="AK56" s="4">
        <f t="shared" si="44"/>
        <v>0.33062374245472836</v>
      </c>
      <c r="AL56" s="3">
        <f>61.61</f>
        <v>61.61</v>
      </c>
      <c r="AM56" s="3">
        <f>124.25</f>
        <v>124.25</v>
      </c>
      <c r="AN56" s="3">
        <f t="shared" si="45"/>
        <v>-62.64</v>
      </c>
      <c r="AO56" s="4">
        <f t="shared" si="46"/>
        <v>0.49585513078470822</v>
      </c>
      <c r="AP56" s="3">
        <f>41.08</f>
        <v>41.08</v>
      </c>
      <c r="AQ56" s="3">
        <f>124.25</f>
        <v>124.25</v>
      </c>
      <c r="AR56" s="3">
        <f t="shared" si="47"/>
        <v>-83.17</v>
      </c>
      <c r="AS56" s="4">
        <f t="shared" si="48"/>
        <v>0.33062374245472836</v>
      </c>
      <c r="AT56" s="3">
        <f t="shared" si="49"/>
        <v>492.93999999999988</v>
      </c>
      <c r="AU56" s="3">
        <f t="shared" si="50"/>
        <v>1366.75</v>
      </c>
      <c r="AV56" s="3">
        <f t="shared" si="51"/>
        <v>-873.81000000000017</v>
      </c>
      <c r="AW56" s="4">
        <f t="shared" si="52"/>
        <v>0.3606658130601792</v>
      </c>
    </row>
    <row r="57" spans="1:49">
      <c r="A57" s="1" t="s">
        <v>69</v>
      </c>
      <c r="B57" s="3">
        <f>0</f>
        <v>0</v>
      </c>
      <c r="C57" s="2"/>
      <c r="D57" s="3">
        <f t="shared" si="27"/>
        <v>0</v>
      </c>
      <c r="E57" s="4" t="str">
        <f t="shared" si="28"/>
        <v/>
      </c>
      <c r="F57" s="3">
        <f>0</f>
        <v>0</v>
      </c>
      <c r="G57" s="2"/>
      <c r="H57" s="3">
        <f t="shared" si="29"/>
        <v>0</v>
      </c>
      <c r="I57" s="4" t="str">
        <f t="shared" si="30"/>
        <v/>
      </c>
      <c r="J57" s="3">
        <f>0</f>
        <v>0</v>
      </c>
      <c r="K57" s="2"/>
      <c r="L57" s="3">
        <f t="shared" si="31"/>
        <v>0</v>
      </c>
      <c r="M57" s="4" t="str">
        <f t="shared" si="32"/>
        <v/>
      </c>
      <c r="N57" s="3">
        <f>0</f>
        <v>0</v>
      </c>
      <c r="O57" s="2"/>
      <c r="P57" s="3">
        <f t="shared" si="33"/>
        <v>0</v>
      </c>
      <c r="Q57" s="4" t="str">
        <f t="shared" si="34"/>
        <v/>
      </c>
      <c r="R57" s="3">
        <f>0</f>
        <v>0</v>
      </c>
      <c r="S57" s="2"/>
      <c r="T57" s="3">
        <f t="shared" si="35"/>
        <v>0</v>
      </c>
      <c r="U57" s="4" t="str">
        <f t="shared" si="36"/>
        <v/>
      </c>
      <c r="V57" s="3">
        <f>0</f>
        <v>0</v>
      </c>
      <c r="W57" s="2"/>
      <c r="X57" s="3">
        <f t="shared" si="37"/>
        <v>0</v>
      </c>
      <c r="Y57" s="4" t="str">
        <f t="shared" si="38"/>
        <v/>
      </c>
      <c r="Z57" s="3">
        <f>0</f>
        <v>0</v>
      </c>
      <c r="AA57" s="2"/>
      <c r="AB57" s="3">
        <f t="shared" si="39"/>
        <v>0</v>
      </c>
      <c r="AC57" s="4" t="str">
        <f t="shared" si="40"/>
        <v/>
      </c>
      <c r="AD57" s="3">
        <f>0</f>
        <v>0</v>
      </c>
      <c r="AE57" s="2"/>
      <c r="AF57" s="3">
        <f t="shared" si="41"/>
        <v>0</v>
      </c>
      <c r="AG57" s="4" t="str">
        <f t="shared" si="42"/>
        <v/>
      </c>
      <c r="AH57" s="3">
        <f>0</f>
        <v>0</v>
      </c>
      <c r="AI57" s="2"/>
      <c r="AJ57" s="3">
        <f t="shared" si="43"/>
        <v>0</v>
      </c>
      <c r="AK57" s="4" t="str">
        <f t="shared" si="44"/>
        <v/>
      </c>
      <c r="AL57" s="3">
        <f>0</f>
        <v>0</v>
      </c>
      <c r="AM57" s="2"/>
      <c r="AN57" s="3">
        <f t="shared" si="45"/>
        <v>0</v>
      </c>
      <c r="AO57" s="4" t="str">
        <f t="shared" si="46"/>
        <v/>
      </c>
      <c r="AP57" s="3">
        <f>0</f>
        <v>0</v>
      </c>
      <c r="AQ57" s="2"/>
      <c r="AR57" s="3">
        <f t="shared" si="47"/>
        <v>0</v>
      </c>
      <c r="AS57" s="4" t="str">
        <f t="shared" si="48"/>
        <v/>
      </c>
      <c r="AT57" s="3">
        <f t="shared" si="49"/>
        <v>0</v>
      </c>
      <c r="AU57" s="3">
        <f t="shared" si="50"/>
        <v>0</v>
      </c>
      <c r="AV57" s="3">
        <f t="shared" si="51"/>
        <v>0</v>
      </c>
      <c r="AW57" s="4" t="str">
        <f t="shared" si="52"/>
        <v/>
      </c>
    </row>
    <row r="58" spans="1:49">
      <c r="A58" s="1" t="s">
        <v>70</v>
      </c>
      <c r="B58" s="5">
        <f>(((B54)+(B55))+(B56))+(B57)</f>
        <v>117.36</v>
      </c>
      <c r="C58" s="5">
        <f>(((C54)+(C55))+(C56))+(C57)</f>
        <v>355</v>
      </c>
      <c r="D58" s="5">
        <f t="shared" si="27"/>
        <v>-237.64</v>
      </c>
      <c r="E58" s="6">
        <f t="shared" si="28"/>
        <v>0.33059154929577467</v>
      </c>
      <c r="F58" s="5">
        <f>(((F54)+(F55))+(F56))+(F57)</f>
        <v>117.36</v>
      </c>
      <c r="G58" s="5">
        <f>(((G54)+(G55))+(G56))+(G57)</f>
        <v>355</v>
      </c>
      <c r="H58" s="5">
        <f t="shared" si="29"/>
        <v>-237.64</v>
      </c>
      <c r="I58" s="6">
        <f t="shared" si="30"/>
        <v>0.33059154929577467</v>
      </c>
      <c r="J58" s="5">
        <f>(((J54)+(J55))+(J56))+(J57)</f>
        <v>176.04000000000002</v>
      </c>
      <c r="K58" s="5">
        <f>(((K54)+(K55))+(K56))+(K57)</f>
        <v>355</v>
      </c>
      <c r="L58" s="5">
        <f t="shared" si="31"/>
        <v>-178.95999999999998</v>
      </c>
      <c r="M58" s="6">
        <f t="shared" si="32"/>
        <v>0.49588732394366203</v>
      </c>
      <c r="N58" s="5">
        <f>(((N54)+(N55))+(N56))+(N57)</f>
        <v>117.36</v>
      </c>
      <c r="O58" s="5">
        <f>(((O54)+(O55))+(O56))+(O57)</f>
        <v>355</v>
      </c>
      <c r="P58" s="5">
        <f t="shared" si="33"/>
        <v>-237.64</v>
      </c>
      <c r="Q58" s="6">
        <f t="shared" si="34"/>
        <v>0.33059154929577467</v>
      </c>
      <c r="R58" s="5">
        <f>(((R54)+(R55))+(R56))+(R57)</f>
        <v>117.36</v>
      </c>
      <c r="S58" s="5">
        <f>(((S54)+(S55))+(S56))+(S57)</f>
        <v>355</v>
      </c>
      <c r="T58" s="5">
        <f t="shared" si="35"/>
        <v>-237.64</v>
      </c>
      <c r="U58" s="6">
        <f t="shared" si="36"/>
        <v>0.33059154929577467</v>
      </c>
      <c r="V58" s="5">
        <f>(((V54)+(V55))+(V56))+(V57)</f>
        <v>117.36</v>
      </c>
      <c r="W58" s="5">
        <f>(((W54)+(W55))+(W56))+(W57)</f>
        <v>355</v>
      </c>
      <c r="X58" s="5">
        <f t="shared" si="37"/>
        <v>-237.64</v>
      </c>
      <c r="Y58" s="6">
        <f t="shared" si="38"/>
        <v>0.33059154929577467</v>
      </c>
      <c r="Z58" s="5">
        <f>(((Z54)+(Z55))+(Z56))+(Z57)</f>
        <v>117.36</v>
      </c>
      <c r="AA58" s="5">
        <f>(((AA54)+(AA55))+(AA56))+(AA57)</f>
        <v>355</v>
      </c>
      <c r="AB58" s="5">
        <f t="shared" si="39"/>
        <v>-237.64</v>
      </c>
      <c r="AC58" s="6">
        <f t="shared" si="40"/>
        <v>0.33059154929577467</v>
      </c>
      <c r="AD58" s="5">
        <f>(((AD54)+(AD55))+(AD56))+(AD57)</f>
        <v>117.36</v>
      </c>
      <c r="AE58" s="5">
        <f>(((AE54)+(AE55))+(AE56))+(AE57)</f>
        <v>355</v>
      </c>
      <c r="AF58" s="5">
        <f t="shared" si="41"/>
        <v>-237.64</v>
      </c>
      <c r="AG58" s="6">
        <f t="shared" si="42"/>
        <v>0.33059154929577467</v>
      </c>
      <c r="AH58" s="5">
        <f>(((AH54)+(AH55))+(AH56))+(AH57)</f>
        <v>117.36</v>
      </c>
      <c r="AI58" s="5">
        <f>(((AI54)+(AI55))+(AI56))+(AI57)</f>
        <v>355</v>
      </c>
      <c r="AJ58" s="5">
        <f t="shared" si="43"/>
        <v>-237.64</v>
      </c>
      <c r="AK58" s="6">
        <f t="shared" si="44"/>
        <v>0.33059154929577467</v>
      </c>
      <c r="AL58" s="5">
        <f>(((AL54)+(AL55))+(AL56))+(AL57)</f>
        <v>176.04000000000002</v>
      </c>
      <c r="AM58" s="5">
        <f>(((AM54)+(AM55))+(AM56))+(AM57)</f>
        <v>355</v>
      </c>
      <c r="AN58" s="5">
        <f t="shared" si="45"/>
        <v>-178.95999999999998</v>
      </c>
      <c r="AO58" s="6">
        <f t="shared" si="46"/>
        <v>0.49588732394366203</v>
      </c>
      <c r="AP58" s="5">
        <f>(((AP54)+(AP55))+(AP56))+(AP57)</f>
        <v>117.36</v>
      </c>
      <c r="AQ58" s="5">
        <f>(((AQ54)+(AQ55))+(AQ56))+(AQ57)</f>
        <v>355</v>
      </c>
      <c r="AR58" s="5">
        <f t="shared" si="47"/>
        <v>-237.64</v>
      </c>
      <c r="AS58" s="6">
        <f t="shared" si="48"/>
        <v>0.33059154929577467</v>
      </c>
      <c r="AT58" s="5">
        <f t="shared" si="49"/>
        <v>1408.32</v>
      </c>
      <c r="AU58" s="5">
        <f t="shared" si="50"/>
        <v>3905</v>
      </c>
      <c r="AV58" s="5">
        <f t="shared" si="51"/>
        <v>-2496.6800000000003</v>
      </c>
      <c r="AW58" s="6">
        <f t="shared" si="52"/>
        <v>0.36064532650448144</v>
      </c>
    </row>
    <row r="59" spans="1:49">
      <c r="A59" s="1" t="s">
        <v>71</v>
      </c>
      <c r="B59" s="2"/>
      <c r="C59" s="2"/>
      <c r="D59" s="3">
        <f t="shared" si="27"/>
        <v>0</v>
      </c>
      <c r="E59" s="4" t="str">
        <f t="shared" si="28"/>
        <v/>
      </c>
      <c r="F59" s="2"/>
      <c r="G59" s="2"/>
      <c r="H59" s="3">
        <f t="shared" si="29"/>
        <v>0</v>
      </c>
      <c r="I59" s="4" t="str">
        <f t="shared" si="30"/>
        <v/>
      </c>
      <c r="J59" s="2"/>
      <c r="K59" s="2"/>
      <c r="L59" s="3">
        <f t="shared" si="31"/>
        <v>0</v>
      </c>
      <c r="M59" s="4" t="str">
        <f t="shared" si="32"/>
        <v/>
      </c>
      <c r="N59" s="2"/>
      <c r="O59" s="2"/>
      <c r="P59" s="3">
        <f t="shared" si="33"/>
        <v>0</v>
      </c>
      <c r="Q59" s="4" t="str">
        <f t="shared" si="34"/>
        <v/>
      </c>
      <c r="R59" s="2"/>
      <c r="S59" s="2"/>
      <c r="T59" s="3">
        <f t="shared" si="35"/>
        <v>0</v>
      </c>
      <c r="U59" s="4" t="str">
        <f t="shared" si="36"/>
        <v/>
      </c>
      <c r="V59" s="2"/>
      <c r="W59" s="2"/>
      <c r="X59" s="3">
        <f t="shared" si="37"/>
        <v>0</v>
      </c>
      <c r="Y59" s="4" t="str">
        <f t="shared" si="38"/>
        <v/>
      </c>
      <c r="Z59" s="2"/>
      <c r="AA59" s="2"/>
      <c r="AB59" s="3">
        <f t="shared" si="39"/>
        <v>0</v>
      </c>
      <c r="AC59" s="4" t="str">
        <f t="shared" si="40"/>
        <v/>
      </c>
      <c r="AD59" s="2"/>
      <c r="AE59" s="2"/>
      <c r="AF59" s="3">
        <f t="shared" si="41"/>
        <v>0</v>
      </c>
      <c r="AG59" s="4" t="str">
        <f t="shared" si="42"/>
        <v/>
      </c>
      <c r="AH59" s="2"/>
      <c r="AI59" s="2"/>
      <c r="AJ59" s="3">
        <f t="shared" si="43"/>
        <v>0</v>
      </c>
      <c r="AK59" s="4" t="str">
        <f t="shared" si="44"/>
        <v/>
      </c>
      <c r="AL59" s="2"/>
      <c r="AM59" s="2"/>
      <c r="AN59" s="3">
        <f t="shared" si="45"/>
        <v>0</v>
      </c>
      <c r="AO59" s="4" t="str">
        <f t="shared" si="46"/>
        <v/>
      </c>
      <c r="AP59" s="2"/>
      <c r="AQ59" s="2"/>
      <c r="AR59" s="3">
        <f t="shared" si="47"/>
        <v>0</v>
      </c>
      <c r="AS59" s="4" t="str">
        <f t="shared" si="48"/>
        <v/>
      </c>
      <c r="AT59" s="3">
        <f t="shared" si="49"/>
        <v>0</v>
      </c>
      <c r="AU59" s="3">
        <f t="shared" si="50"/>
        <v>0</v>
      </c>
      <c r="AV59" s="3">
        <f t="shared" si="51"/>
        <v>0</v>
      </c>
      <c r="AW59" s="4" t="str">
        <f t="shared" si="52"/>
        <v/>
      </c>
    </row>
    <row r="60" spans="1:49">
      <c r="A60" s="1" t="s">
        <v>72</v>
      </c>
      <c r="B60" s="3">
        <f>581.1</f>
        <v>581.1</v>
      </c>
      <c r="C60" s="3">
        <f>507</f>
        <v>507</v>
      </c>
      <c r="D60" s="3">
        <f t="shared" si="27"/>
        <v>74.100000000000023</v>
      </c>
      <c r="E60" s="4">
        <f t="shared" si="28"/>
        <v>1.1461538461538463</v>
      </c>
      <c r="F60" s="3">
        <f>581.1</f>
        <v>581.1</v>
      </c>
      <c r="G60" s="3">
        <f>507</f>
        <v>507</v>
      </c>
      <c r="H60" s="3">
        <f t="shared" si="29"/>
        <v>74.100000000000023</v>
      </c>
      <c r="I60" s="4">
        <f t="shared" si="30"/>
        <v>1.1461538461538463</v>
      </c>
      <c r="J60" s="3">
        <f>581.1</f>
        <v>581.1</v>
      </c>
      <c r="K60" s="3">
        <f>507</f>
        <v>507</v>
      </c>
      <c r="L60" s="3">
        <f t="shared" si="31"/>
        <v>74.100000000000023</v>
      </c>
      <c r="M60" s="4">
        <f t="shared" si="32"/>
        <v>1.1461538461538463</v>
      </c>
      <c r="N60" s="3">
        <f>581.1</f>
        <v>581.1</v>
      </c>
      <c r="O60" s="3">
        <f>507</f>
        <v>507</v>
      </c>
      <c r="P60" s="3">
        <f t="shared" si="33"/>
        <v>74.100000000000023</v>
      </c>
      <c r="Q60" s="4">
        <f t="shared" si="34"/>
        <v>1.1461538461538463</v>
      </c>
      <c r="R60" s="3">
        <f>581.1</f>
        <v>581.1</v>
      </c>
      <c r="S60" s="3">
        <f>507</f>
        <v>507</v>
      </c>
      <c r="T60" s="3">
        <f t="shared" si="35"/>
        <v>74.100000000000023</v>
      </c>
      <c r="U60" s="4">
        <f t="shared" si="36"/>
        <v>1.1461538461538463</v>
      </c>
      <c r="V60" s="3">
        <f>581.1</f>
        <v>581.1</v>
      </c>
      <c r="W60" s="3">
        <f>507</f>
        <v>507</v>
      </c>
      <c r="X60" s="3">
        <f t="shared" si="37"/>
        <v>74.100000000000023</v>
      </c>
      <c r="Y60" s="4">
        <f t="shared" si="38"/>
        <v>1.1461538461538463</v>
      </c>
      <c r="Z60" s="3">
        <f>581.1</f>
        <v>581.1</v>
      </c>
      <c r="AA60" s="3">
        <f>507</f>
        <v>507</v>
      </c>
      <c r="AB60" s="3">
        <f t="shared" si="39"/>
        <v>74.100000000000023</v>
      </c>
      <c r="AC60" s="4">
        <f t="shared" si="40"/>
        <v>1.1461538461538463</v>
      </c>
      <c r="AD60" s="3">
        <f>681.2</f>
        <v>681.2</v>
      </c>
      <c r="AE60" s="3">
        <f>507</f>
        <v>507</v>
      </c>
      <c r="AF60" s="3">
        <f t="shared" si="41"/>
        <v>174.20000000000005</v>
      </c>
      <c r="AG60" s="4">
        <f t="shared" si="42"/>
        <v>1.3435897435897437</v>
      </c>
      <c r="AH60" s="3">
        <f>590.85</f>
        <v>590.85</v>
      </c>
      <c r="AI60" s="3">
        <f>507</f>
        <v>507</v>
      </c>
      <c r="AJ60" s="3">
        <f t="shared" si="43"/>
        <v>83.850000000000023</v>
      </c>
      <c r="AK60" s="4">
        <f t="shared" si="44"/>
        <v>1.1653846153846155</v>
      </c>
      <c r="AL60" s="3">
        <f>590.85</f>
        <v>590.85</v>
      </c>
      <c r="AM60" s="3">
        <f>507</f>
        <v>507</v>
      </c>
      <c r="AN60" s="3">
        <f t="shared" si="45"/>
        <v>83.850000000000023</v>
      </c>
      <c r="AO60" s="4">
        <f t="shared" si="46"/>
        <v>1.1653846153846155</v>
      </c>
      <c r="AP60" s="3">
        <f>590.85</f>
        <v>590.85</v>
      </c>
      <c r="AQ60" s="3">
        <f>507</f>
        <v>507</v>
      </c>
      <c r="AR60" s="3">
        <f t="shared" si="47"/>
        <v>83.850000000000023</v>
      </c>
      <c r="AS60" s="4">
        <f t="shared" si="48"/>
        <v>1.1653846153846155</v>
      </c>
      <c r="AT60" s="3">
        <f t="shared" si="49"/>
        <v>6521.4500000000007</v>
      </c>
      <c r="AU60" s="3">
        <f t="shared" si="50"/>
        <v>5577</v>
      </c>
      <c r="AV60" s="3">
        <f t="shared" si="51"/>
        <v>944.45000000000073</v>
      </c>
      <c r="AW60" s="4">
        <f t="shared" si="52"/>
        <v>1.1693473193473194</v>
      </c>
    </row>
    <row r="61" spans="1:49">
      <c r="A61" s="1" t="s">
        <v>73</v>
      </c>
      <c r="B61" s="3">
        <f>312.9</f>
        <v>312.89999999999998</v>
      </c>
      <c r="C61" s="3">
        <f>273</f>
        <v>273</v>
      </c>
      <c r="D61" s="3">
        <f t="shared" si="27"/>
        <v>39.899999999999977</v>
      </c>
      <c r="E61" s="4">
        <f t="shared" si="28"/>
        <v>1.1461538461538461</v>
      </c>
      <c r="F61" s="3">
        <f>312.9</f>
        <v>312.89999999999998</v>
      </c>
      <c r="G61" s="3">
        <f>273</f>
        <v>273</v>
      </c>
      <c r="H61" s="3">
        <f t="shared" si="29"/>
        <v>39.899999999999977</v>
      </c>
      <c r="I61" s="4">
        <f t="shared" si="30"/>
        <v>1.1461538461538461</v>
      </c>
      <c r="J61" s="3">
        <f>312.9</f>
        <v>312.89999999999998</v>
      </c>
      <c r="K61" s="3">
        <f>273</f>
        <v>273</v>
      </c>
      <c r="L61" s="3">
        <f t="shared" si="31"/>
        <v>39.899999999999977</v>
      </c>
      <c r="M61" s="4">
        <f t="shared" si="32"/>
        <v>1.1461538461538461</v>
      </c>
      <c r="N61" s="3">
        <f>312.9</f>
        <v>312.89999999999998</v>
      </c>
      <c r="O61" s="3">
        <f>273</f>
        <v>273</v>
      </c>
      <c r="P61" s="3">
        <f t="shared" si="33"/>
        <v>39.899999999999977</v>
      </c>
      <c r="Q61" s="4">
        <f t="shared" si="34"/>
        <v>1.1461538461538461</v>
      </c>
      <c r="R61" s="3">
        <f>312.9</f>
        <v>312.89999999999998</v>
      </c>
      <c r="S61" s="3">
        <f>273</f>
        <v>273</v>
      </c>
      <c r="T61" s="3">
        <f t="shared" si="35"/>
        <v>39.899999999999977</v>
      </c>
      <c r="U61" s="4">
        <f t="shared" si="36"/>
        <v>1.1461538461538461</v>
      </c>
      <c r="V61" s="3">
        <f>312.9</f>
        <v>312.89999999999998</v>
      </c>
      <c r="W61" s="3">
        <f>273</f>
        <v>273</v>
      </c>
      <c r="X61" s="3">
        <f t="shared" si="37"/>
        <v>39.899999999999977</v>
      </c>
      <c r="Y61" s="4">
        <f t="shared" si="38"/>
        <v>1.1461538461538461</v>
      </c>
      <c r="Z61" s="3">
        <f>312.9</f>
        <v>312.89999999999998</v>
      </c>
      <c r="AA61" s="3">
        <f>273</f>
        <v>273</v>
      </c>
      <c r="AB61" s="3">
        <f t="shared" si="39"/>
        <v>39.899999999999977</v>
      </c>
      <c r="AC61" s="4">
        <f t="shared" si="40"/>
        <v>1.1461538461538461</v>
      </c>
      <c r="AD61" s="3">
        <f>366.8</f>
        <v>366.8</v>
      </c>
      <c r="AE61" s="3">
        <f>273</f>
        <v>273</v>
      </c>
      <c r="AF61" s="3">
        <f t="shared" si="41"/>
        <v>93.800000000000011</v>
      </c>
      <c r="AG61" s="4">
        <f t="shared" si="42"/>
        <v>1.3435897435897437</v>
      </c>
      <c r="AH61" s="3">
        <f>318.15</f>
        <v>318.14999999999998</v>
      </c>
      <c r="AI61" s="3">
        <f>273</f>
        <v>273</v>
      </c>
      <c r="AJ61" s="3">
        <f t="shared" si="43"/>
        <v>45.149999999999977</v>
      </c>
      <c r="AK61" s="4">
        <f t="shared" si="44"/>
        <v>1.1653846153846152</v>
      </c>
      <c r="AL61" s="3">
        <f>318.15</f>
        <v>318.14999999999998</v>
      </c>
      <c r="AM61" s="3">
        <f>273</f>
        <v>273</v>
      </c>
      <c r="AN61" s="3">
        <f t="shared" si="45"/>
        <v>45.149999999999977</v>
      </c>
      <c r="AO61" s="4">
        <f t="shared" si="46"/>
        <v>1.1653846153846152</v>
      </c>
      <c r="AP61" s="3">
        <f>318.15</f>
        <v>318.14999999999998</v>
      </c>
      <c r="AQ61" s="3">
        <f>273</f>
        <v>273</v>
      </c>
      <c r="AR61" s="3">
        <f t="shared" si="47"/>
        <v>45.149999999999977</v>
      </c>
      <c r="AS61" s="4">
        <f t="shared" si="48"/>
        <v>1.1653846153846152</v>
      </c>
      <c r="AT61" s="3">
        <f t="shared" si="49"/>
        <v>3511.5500000000006</v>
      </c>
      <c r="AU61" s="3">
        <f t="shared" si="50"/>
        <v>3003</v>
      </c>
      <c r="AV61" s="3">
        <f t="shared" si="51"/>
        <v>508.55000000000064</v>
      </c>
      <c r="AW61" s="4">
        <f t="shared" si="52"/>
        <v>1.1693473193473196</v>
      </c>
    </row>
    <row r="62" spans="1:49">
      <c r="A62" s="1" t="s">
        <v>74</v>
      </c>
      <c r="B62" s="3">
        <f>0</f>
        <v>0</v>
      </c>
      <c r="C62" s="2"/>
      <c r="D62" s="3">
        <f t="shared" si="27"/>
        <v>0</v>
      </c>
      <c r="E62" s="4" t="str">
        <f t="shared" si="28"/>
        <v/>
      </c>
      <c r="F62" s="3">
        <f>0</f>
        <v>0</v>
      </c>
      <c r="G62" s="2"/>
      <c r="H62" s="3">
        <f t="shared" si="29"/>
        <v>0</v>
      </c>
      <c r="I62" s="4" t="str">
        <f t="shared" si="30"/>
        <v/>
      </c>
      <c r="J62" s="3">
        <f>0</f>
        <v>0</v>
      </c>
      <c r="K62" s="2"/>
      <c r="L62" s="3">
        <f t="shared" si="31"/>
        <v>0</v>
      </c>
      <c r="M62" s="4" t="str">
        <f t="shared" si="32"/>
        <v/>
      </c>
      <c r="N62" s="3">
        <f>0</f>
        <v>0</v>
      </c>
      <c r="O62" s="2"/>
      <c r="P62" s="3">
        <f t="shared" si="33"/>
        <v>0</v>
      </c>
      <c r="Q62" s="4" t="str">
        <f t="shared" si="34"/>
        <v/>
      </c>
      <c r="R62" s="3">
        <f>0</f>
        <v>0</v>
      </c>
      <c r="S62" s="2"/>
      <c r="T62" s="3">
        <f t="shared" si="35"/>
        <v>0</v>
      </c>
      <c r="U62" s="4" t="str">
        <f t="shared" si="36"/>
        <v/>
      </c>
      <c r="V62" s="3">
        <f>0</f>
        <v>0</v>
      </c>
      <c r="W62" s="2"/>
      <c r="X62" s="3">
        <f t="shared" si="37"/>
        <v>0</v>
      </c>
      <c r="Y62" s="4" t="str">
        <f t="shared" si="38"/>
        <v/>
      </c>
      <c r="Z62" s="3">
        <f>0</f>
        <v>0</v>
      </c>
      <c r="AA62" s="2"/>
      <c r="AB62" s="3">
        <f t="shared" si="39"/>
        <v>0</v>
      </c>
      <c r="AC62" s="4" t="str">
        <f t="shared" si="40"/>
        <v/>
      </c>
      <c r="AD62" s="3">
        <f>0</f>
        <v>0</v>
      </c>
      <c r="AE62" s="2"/>
      <c r="AF62" s="3">
        <f t="shared" si="41"/>
        <v>0</v>
      </c>
      <c r="AG62" s="4" t="str">
        <f t="shared" si="42"/>
        <v/>
      </c>
      <c r="AH62" s="3">
        <f>0</f>
        <v>0</v>
      </c>
      <c r="AI62" s="2"/>
      <c r="AJ62" s="3">
        <f t="shared" si="43"/>
        <v>0</v>
      </c>
      <c r="AK62" s="4" t="str">
        <f t="shared" si="44"/>
        <v/>
      </c>
      <c r="AL62" s="3">
        <f>0</f>
        <v>0</v>
      </c>
      <c r="AM62" s="2"/>
      <c r="AN62" s="3">
        <f t="shared" si="45"/>
        <v>0</v>
      </c>
      <c r="AO62" s="4" t="str">
        <f t="shared" si="46"/>
        <v/>
      </c>
      <c r="AP62" s="3">
        <f>0</f>
        <v>0</v>
      </c>
      <c r="AQ62" s="2"/>
      <c r="AR62" s="3">
        <f t="shared" si="47"/>
        <v>0</v>
      </c>
      <c r="AS62" s="4" t="str">
        <f t="shared" si="48"/>
        <v/>
      </c>
      <c r="AT62" s="3">
        <f t="shared" si="49"/>
        <v>0</v>
      </c>
      <c r="AU62" s="3">
        <f t="shared" si="50"/>
        <v>0</v>
      </c>
      <c r="AV62" s="3">
        <f t="shared" si="51"/>
        <v>0</v>
      </c>
      <c r="AW62" s="4" t="str">
        <f t="shared" si="52"/>
        <v/>
      </c>
    </row>
    <row r="63" spans="1:49">
      <c r="A63" s="1" t="s">
        <v>75</v>
      </c>
      <c r="B63" s="5">
        <f>(((B59)+(B60))+(B61))+(B62)</f>
        <v>894</v>
      </c>
      <c r="C63" s="5">
        <f>(((C59)+(C60))+(C61))+(C62)</f>
        <v>780</v>
      </c>
      <c r="D63" s="5">
        <f t="shared" si="27"/>
        <v>114</v>
      </c>
      <c r="E63" s="6">
        <f t="shared" si="28"/>
        <v>1.1461538461538461</v>
      </c>
      <c r="F63" s="5">
        <f>(((F59)+(F60))+(F61))+(F62)</f>
        <v>894</v>
      </c>
      <c r="G63" s="5">
        <f>(((G59)+(G60))+(G61))+(G62)</f>
        <v>780</v>
      </c>
      <c r="H63" s="5">
        <f t="shared" si="29"/>
        <v>114</v>
      </c>
      <c r="I63" s="6">
        <f t="shared" si="30"/>
        <v>1.1461538461538461</v>
      </c>
      <c r="J63" s="5">
        <f>(((J59)+(J60))+(J61))+(J62)</f>
        <v>894</v>
      </c>
      <c r="K63" s="5">
        <f>(((K59)+(K60))+(K61))+(K62)</f>
        <v>780</v>
      </c>
      <c r="L63" s="5">
        <f t="shared" si="31"/>
        <v>114</v>
      </c>
      <c r="M63" s="6">
        <f t="shared" si="32"/>
        <v>1.1461538461538461</v>
      </c>
      <c r="N63" s="5">
        <f>(((N59)+(N60))+(N61))+(N62)</f>
        <v>894</v>
      </c>
      <c r="O63" s="5">
        <f>(((O59)+(O60))+(O61))+(O62)</f>
        <v>780</v>
      </c>
      <c r="P63" s="5">
        <f t="shared" si="33"/>
        <v>114</v>
      </c>
      <c r="Q63" s="6">
        <f t="shared" si="34"/>
        <v>1.1461538461538461</v>
      </c>
      <c r="R63" s="5">
        <f>(((R59)+(R60))+(R61))+(R62)</f>
        <v>894</v>
      </c>
      <c r="S63" s="5">
        <f>(((S59)+(S60))+(S61))+(S62)</f>
        <v>780</v>
      </c>
      <c r="T63" s="5">
        <f t="shared" si="35"/>
        <v>114</v>
      </c>
      <c r="U63" s="6">
        <f t="shared" si="36"/>
        <v>1.1461538461538461</v>
      </c>
      <c r="V63" s="5">
        <f>(((V59)+(V60))+(V61))+(V62)</f>
        <v>894</v>
      </c>
      <c r="W63" s="5">
        <f>(((W59)+(W60))+(W61))+(W62)</f>
        <v>780</v>
      </c>
      <c r="X63" s="5">
        <f t="shared" si="37"/>
        <v>114</v>
      </c>
      <c r="Y63" s="6">
        <f t="shared" si="38"/>
        <v>1.1461538461538461</v>
      </c>
      <c r="Z63" s="5">
        <f>(((Z59)+(Z60))+(Z61))+(Z62)</f>
        <v>894</v>
      </c>
      <c r="AA63" s="5">
        <f>(((AA59)+(AA60))+(AA61))+(AA62)</f>
        <v>780</v>
      </c>
      <c r="AB63" s="5">
        <f t="shared" si="39"/>
        <v>114</v>
      </c>
      <c r="AC63" s="6">
        <f t="shared" si="40"/>
        <v>1.1461538461538461</v>
      </c>
      <c r="AD63" s="5">
        <f>(((AD59)+(AD60))+(AD61))+(AD62)</f>
        <v>1048</v>
      </c>
      <c r="AE63" s="5">
        <f>(((AE59)+(AE60))+(AE61))+(AE62)</f>
        <v>780</v>
      </c>
      <c r="AF63" s="5">
        <f t="shared" si="41"/>
        <v>268</v>
      </c>
      <c r="AG63" s="6">
        <f t="shared" si="42"/>
        <v>1.3435897435897435</v>
      </c>
      <c r="AH63" s="5">
        <f>(((AH59)+(AH60))+(AH61))+(AH62)</f>
        <v>909</v>
      </c>
      <c r="AI63" s="5">
        <f>(((AI59)+(AI60))+(AI61))+(AI62)</f>
        <v>780</v>
      </c>
      <c r="AJ63" s="5">
        <f t="shared" si="43"/>
        <v>129</v>
      </c>
      <c r="AK63" s="6">
        <f t="shared" si="44"/>
        <v>1.1653846153846155</v>
      </c>
      <c r="AL63" s="5">
        <f>(((AL59)+(AL60))+(AL61))+(AL62)</f>
        <v>909</v>
      </c>
      <c r="AM63" s="5">
        <f>(((AM59)+(AM60))+(AM61))+(AM62)</f>
        <v>780</v>
      </c>
      <c r="AN63" s="5">
        <f t="shared" si="45"/>
        <v>129</v>
      </c>
      <c r="AO63" s="6">
        <f t="shared" si="46"/>
        <v>1.1653846153846155</v>
      </c>
      <c r="AP63" s="5">
        <f>(((AP59)+(AP60))+(AP61))+(AP62)</f>
        <v>909</v>
      </c>
      <c r="AQ63" s="5">
        <f>(((AQ59)+(AQ60))+(AQ61))+(AQ62)</f>
        <v>780</v>
      </c>
      <c r="AR63" s="5">
        <f t="shared" si="47"/>
        <v>129</v>
      </c>
      <c r="AS63" s="6">
        <f t="shared" si="48"/>
        <v>1.1653846153846155</v>
      </c>
      <c r="AT63" s="5">
        <f t="shared" si="49"/>
        <v>10033</v>
      </c>
      <c r="AU63" s="5">
        <f t="shared" si="50"/>
        <v>8580</v>
      </c>
      <c r="AV63" s="5">
        <f t="shared" si="51"/>
        <v>1453</v>
      </c>
      <c r="AW63" s="6">
        <f t="shared" si="52"/>
        <v>1.1693473193473194</v>
      </c>
    </row>
    <row r="64" spans="1:49">
      <c r="A64" s="1" t="s">
        <v>76</v>
      </c>
      <c r="B64" s="2"/>
      <c r="C64" s="2"/>
      <c r="D64" s="3">
        <f t="shared" si="27"/>
        <v>0</v>
      </c>
      <c r="E64" s="4" t="str">
        <f t="shared" si="28"/>
        <v/>
      </c>
      <c r="F64" s="2"/>
      <c r="G64" s="2"/>
      <c r="H64" s="3">
        <f t="shared" si="29"/>
        <v>0</v>
      </c>
      <c r="I64" s="4" t="str">
        <f t="shared" si="30"/>
        <v/>
      </c>
      <c r="J64" s="2"/>
      <c r="K64" s="2"/>
      <c r="L64" s="3">
        <f t="shared" si="31"/>
        <v>0</v>
      </c>
      <c r="M64" s="4" t="str">
        <f t="shared" si="32"/>
        <v/>
      </c>
      <c r="N64" s="2"/>
      <c r="O64" s="2"/>
      <c r="P64" s="3">
        <f t="shared" si="33"/>
        <v>0</v>
      </c>
      <c r="Q64" s="4" t="str">
        <f t="shared" si="34"/>
        <v/>
      </c>
      <c r="R64" s="2"/>
      <c r="S64" s="2"/>
      <c r="T64" s="3">
        <f t="shared" si="35"/>
        <v>0</v>
      </c>
      <c r="U64" s="4" t="str">
        <f t="shared" si="36"/>
        <v/>
      </c>
      <c r="V64" s="2"/>
      <c r="W64" s="2"/>
      <c r="X64" s="3">
        <f t="shared" si="37"/>
        <v>0</v>
      </c>
      <c r="Y64" s="4" t="str">
        <f t="shared" si="38"/>
        <v/>
      </c>
      <c r="Z64" s="2"/>
      <c r="AA64" s="2"/>
      <c r="AB64" s="3">
        <f t="shared" si="39"/>
        <v>0</v>
      </c>
      <c r="AC64" s="4" t="str">
        <f t="shared" si="40"/>
        <v/>
      </c>
      <c r="AD64" s="2"/>
      <c r="AE64" s="2"/>
      <c r="AF64" s="3">
        <f t="shared" si="41"/>
        <v>0</v>
      </c>
      <c r="AG64" s="4" t="str">
        <f t="shared" si="42"/>
        <v/>
      </c>
      <c r="AH64" s="2"/>
      <c r="AI64" s="2"/>
      <c r="AJ64" s="3">
        <f t="shared" si="43"/>
        <v>0</v>
      </c>
      <c r="AK64" s="4" t="str">
        <f t="shared" si="44"/>
        <v/>
      </c>
      <c r="AL64" s="2"/>
      <c r="AM64" s="2"/>
      <c r="AN64" s="3">
        <f t="shared" si="45"/>
        <v>0</v>
      </c>
      <c r="AO64" s="4" t="str">
        <f t="shared" si="46"/>
        <v/>
      </c>
      <c r="AP64" s="2"/>
      <c r="AQ64" s="2"/>
      <c r="AR64" s="3">
        <f t="shared" si="47"/>
        <v>0</v>
      </c>
      <c r="AS64" s="4" t="str">
        <f t="shared" si="48"/>
        <v/>
      </c>
      <c r="AT64" s="3">
        <f t="shared" si="49"/>
        <v>0</v>
      </c>
      <c r="AU64" s="3">
        <f t="shared" si="50"/>
        <v>0</v>
      </c>
      <c r="AV64" s="3">
        <f t="shared" si="51"/>
        <v>0</v>
      </c>
      <c r="AW64" s="4" t="str">
        <f t="shared" si="52"/>
        <v/>
      </c>
    </row>
    <row r="65" spans="1:49">
      <c r="A65" s="1" t="s">
        <v>77</v>
      </c>
      <c r="B65" s="3">
        <f>706.98</f>
        <v>706.98</v>
      </c>
      <c r="C65" s="3">
        <f>498.33</f>
        <v>498.33</v>
      </c>
      <c r="D65" s="3">
        <f t="shared" si="27"/>
        <v>208.65000000000003</v>
      </c>
      <c r="E65" s="4">
        <f t="shared" si="28"/>
        <v>1.4186984528324604</v>
      </c>
      <c r="F65" s="3">
        <f>417.42</f>
        <v>417.42</v>
      </c>
      <c r="G65" s="3">
        <f>498.33</f>
        <v>498.33</v>
      </c>
      <c r="H65" s="3">
        <f t="shared" si="29"/>
        <v>-80.909999999999968</v>
      </c>
      <c r="I65" s="4">
        <f t="shared" si="30"/>
        <v>0.83763770995123721</v>
      </c>
      <c r="J65" s="3">
        <f>442.62</f>
        <v>442.62</v>
      </c>
      <c r="K65" s="3">
        <f>498.33</f>
        <v>498.33</v>
      </c>
      <c r="L65" s="3">
        <f t="shared" si="31"/>
        <v>-55.70999999999998</v>
      </c>
      <c r="M65" s="4">
        <f t="shared" si="32"/>
        <v>0.88820661007765944</v>
      </c>
      <c r="N65" s="3">
        <f>440.3</f>
        <v>440.3</v>
      </c>
      <c r="O65" s="3">
        <f>498.33</f>
        <v>498.33</v>
      </c>
      <c r="P65" s="3">
        <f t="shared" si="33"/>
        <v>-58.029999999999973</v>
      </c>
      <c r="Q65" s="4">
        <f t="shared" si="34"/>
        <v>0.883551060542211</v>
      </c>
      <c r="R65" s="3">
        <f>571.23</f>
        <v>571.23</v>
      </c>
      <c r="S65" s="3">
        <f>498.33</f>
        <v>498.33</v>
      </c>
      <c r="T65" s="3">
        <f t="shared" si="35"/>
        <v>72.900000000000034</v>
      </c>
      <c r="U65" s="4">
        <f t="shared" si="36"/>
        <v>1.1462886039371503</v>
      </c>
      <c r="V65" s="3">
        <f>518.35</f>
        <v>518.35</v>
      </c>
      <c r="W65" s="3">
        <f>498.33</f>
        <v>498.33</v>
      </c>
      <c r="X65" s="3">
        <f t="shared" si="37"/>
        <v>20.020000000000039</v>
      </c>
      <c r="Y65" s="4">
        <f t="shared" si="38"/>
        <v>1.0401741817671022</v>
      </c>
      <c r="Z65" s="3">
        <f>484.06</f>
        <v>484.06</v>
      </c>
      <c r="AA65" s="3">
        <f>498.33</f>
        <v>498.33</v>
      </c>
      <c r="AB65" s="3">
        <f t="shared" si="39"/>
        <v>-14.269999999999982</v>
      </c>
      <c r="AC65" s="4">
        <f t="shared" si="40"/>
        <v>0.97136435695222045</v>
      </c>
      <c r="AD65" s="3">
        <f>769.39</f>
        <v>769.39</v>
      </c>
      <c r="AE65" s="3">
        <f>498.33</f>
        <v>498.33</v>
      </c>
      <c r="AF65" s="3">
        <f t="shared" si="41"/>
        <v>271.06</v>
      </c>
      <c r="AG65" s="4">
        <f t="shared" si="42"/>
        <v>1.5439367487407942</v>
      </c>
      <c r="AH65" s="3">
        <f>409.99</f>
        <v>409.99</v>
      </c>
      <c r="AI65" s="3">
        <f>498.33</f>
        <v>498.33</v>
      </c>
      <c r="AJ65" s="3">
        <f t="shared" si="43"/>
        <v>-88.339999999999975</v>
      </c>
      <c r="AK65" s="4">
        <f t="shared" si="44"/>
        <v>0.82272791122348654</v>
      </c>
      <c r="AL65" s="3">
        <f>511.13</f>
        <v>511.13</v>
      </c>
      <c r="AM65" s="3">
        <f>498.33</f>
        <v>498.33</v>
      </c>
      <c r="AN65" s="3">
        <f t="shared" si="45"/>
        <v>12.800000000000011</v>
      </c>
      <c r="AO65" s="4">
        <f t="shared" si="46"/>
        <v>1.0256857905404049</v>
      </c>
      <c r="AP65" s="3">
        <f>648.16</f>
        <v>648.16</v>
      </c>
      <c r="AQ65" s="3">
        <f>498.33</f>
        <v>498.33</v>
      </c>
      <c r="AR65" s="3">
        <f t="shared" si="47"/>
        <v>149.82999999999998</v>
      </c>
      <c r="AS65" s="4">
        <f t="shared" si="48"/>
        <v>1.3006642184897557</v>
      </c>
      <c r="AT65" s="3">
        <f t="shared" si="49"/>
        <v>5919.63</v>
      </c>
      <c r="AU65" s="3">
        <f t="shared" si="50"/>
        <v>5481.63</v>
      </c>
      <c r="AV65" s="3">
        <f t="shared" si="51"/>
        <v>438</v>
      </c>
      <c r="AW65" s="4">
        <f t="shared" si="52"/>
        <v>1.0799032404594984</v>
      </c>
    </row>
    <row r="66" spans="1:49">
      <c r="A66" s="1" t="s">
        <v>78</v>
      </c>
      <c r="B66" s="3">
        <f>380.68</f>
        <v>380.68</v>
      </c>
      <c r="C66" s="3">
        <f>268.33</f>
        <v>268.33</v>
      </c>
      <c r="D66" s="3">
        <f t="shared" si="27"/>
        <v>112.35000000000002</v>
      </c>
      <c r="E66" s="4">
        <f t="shared" si="28"/>
        <v>1.4187008534267507</v>
      </c>
      <c r="F66" s="3">
        <f>224.77</f>
        <v>224.77</v>
      </c>
      <c r="G66" s="3">
        <f>268.33</f>
        <v>268.33</v>
      </c>
      <c r="H66" s="3">
        <f t="shared" si="29"/>
        <v>-43.559999999999974</v>
      </c>
      <c r="I66" s="4">
        <f t="shared" si="30"/>
        <v>0.83766257965937474</v>
      </c>
      <c r="J66" s="3">
        <f>238.34</f>
        <v>238.34</v>
      </c>
      <c r="K66" s="3">
        <f>268.33</f>
        <v>268.33</v>
      </c>
      <c r="L66" s="3">
        <f t="shared" si="31"/>
        <v>-29.989999999999981</v>
      </c>
      <c r="M66" s="4">
        <f t="shared" si="32"/>
        <v>0.88823463645511136</v>
      </c>
      <c r="N66" s="3">
        <f>237.08</f>
        <v>237.08</v>
      </c>
      <c r="O66" s="3">
        <f>268.33</f>
        <v>268.33</v>
      </c>
      <c r="P66" s="3">
        <f t="shared" si="33"/>
        <v>-31.249999999999972</v>
      </c>
      <c r="Q66" s="4">
        <f t="shared" si="34"/>
        <v>0.88353892594939076</v>
      </c>
      <c r="R66" s="3">
        <f>307.59</f>
        <v>307.58999999999997</v>
      </c>
      <c r="S66" s="3">
        <f>268.33</f>
        <v>268.33</v>
      </c>
      <c r="T66" s="3">
        <f t="shared" si="35"/>
        <v>39.259999999999991</v>
      </c>
      <c r="U66" s="4">
        <f t="shared" si="36"/>
        <v>1.1463123765512615</v>
      </c>
      <c r="V66" s="3">
        <f>279.11</f>
        <v>279.11</v>
      </c>
      <c r="W66" s="3">
        <f>268.33</f>
        <v>268.33</v>
      </c>
      <c r="X66" s="3">
        <f t="shared" si="37"/>
        <v>10.78000000000003</v>
      </c>
      <c r="Y66" s="4">
        <f t="shared" si="38"/>
        <v>1.0401744121044982</v>
      </c>
      <c r="Z66" s="3">
        <f>260.65</f>
        <v>260.64999999999998</v>
      </c>
      <c r="AA66" s="3">
        <f>268.33</f>
        <v>268.33</v>
      </c>
      <c r="AB66" s="3">
        <f t="shared" si="39"/>
        <v>-7.6800000000000068</v>
      </c>
      <c r="AC66" s="4">
        <f t="shared" si="40"/>
        <v>0.97137852644132228</v>
      </c>
      <c r="AD66" s="3">
        <f>414.28</f>
        <v>414.28</v>
      </c>
      <c r="AE66" s="3">
        <f>268.33</f>
        <v>268.33</v>
      </c>
      <c r="AF66" s="3">
        <f t="shared" si="41"/>
        <v>145.94999999999999</v>
      </c>
      <c r="AG66" s="4">
        <f t="shared" si="42"/>
        <v>1.5439198002459658</v>
      </c>
      <c r="AH66" s="3">
        <f>220.75</f>
        <v>220.75</v>
      </c>
      <c r="AI66" s="3">
        <f>268.33</f>
        <v>268.33</v>
      </c>
      <c r="AJ66" s="3">
        <f t="shared" si="43"/>
        <v>-47.579999999999984</v>
      </c>
      <c r="AK66" s="4">
        <f t="shared" si="44"/>
        <v>0.82268102709350432</v>
      </c>
      <c r="AL66" s="3">
        <f>275.22</f>
        <v>275.22000000000003</v>
      </c>
      <c r="AM66" s="3">
        <f>268.33</f>
        <v>268.33</v>
      </c>
      <c r="AN66" s="3">
        <f t="shared" si="45"/>
        <v>6.8900000000000432</v>
      </c>
      <c r="AO66" s="4">
        <f t="shared" si="46"/>
        <v>1.0256773376066786</v>
      </c>
      <c r="AP66" s="3">
        <f>349.01</f>
        <v>349.01</v>
      </c>
      <c r="AQ66" s="3">
        <f>268.33</f>
        <v>268.33</v>
      </c>
      <c r="AR66" s="3">
        <f t="shared" si="47"/>
        <v>80.680000000000007</v>
      </c>
      <c r="AS66" s="4">
        <f t="shared" si="48"/>
        <v>1.3006745425409012</v>
      </c>
      <c r="AT66" s="3">
        <f t="shared" si="49"/>
        <v>3187.4800000000005</v>
      </c>
      <c r="AU66" s="3">
        <f t="shared" si="50"/>
        <v>2951.6299999999997</v>
      </c>
      <c r="AV66" s="3">
        <f t="shared" si="51"/>
        <v>235.85000000000082</v>
      </c>
      <c r="AW66" s="4">
        <f t="shared" si="52"/>
        <v>1.0799050016431602</v>
      </c>
    </row>
    <row r="67" spans="1:49">
      <c r="A67" s="1" t="s">
        <v>79</v>
      </c>
      <c r="B67" s="3">
        <f>0</f>
        <v>0</v>
      </c>
      <c r="C67" s="2"/>
      <c r="D67" s="3">
        <f t="shared" si="27"/>
        <v>0</v>
      </c>
      <c r="E67" s="4" t="str">
        <f t="shared" si="28"/>
        <v/>
      </c>
      <c r="F67" s="3">
        <f>125</f>
        <v>125</v>
      </c>
      <c r="G67" s="2"/>
      <c r="H67" s="3">
        <f t="shared" si="29"/>
        <v>125</v>
      </c>
      <c r="I67" s="4" t="str">
        <f t="shared" si="30"/>
        <v/>
      </c>
      <c r="J67" s="3">
        <f>0</f>
        <v>0</v>
      </c>
      <c r="K67" s="2"/>
      <c r="L67" s="3">
        <f t="shared" si="31"/>
        <v>0</v>
      </c>
      <c r="M67" s="4" t="str">
        <f t="shared" si="32"/>
        <v/>
      </c>
      <c r="N67" s="3">
        <f>0</f>
        <v>0</v>
      </c>
      <c r="O67" s="2"/>
      <c r="P67" s="3">
        <f t="shared" si="33"/>
        <v>0</v>
      </c>
      <c r="Q67" s="4" t="str">
        <f t="shared" si="34"/>
        <v/>
      </c>
      <c r="R67" s="3">
        <f>0</f>
        <v>0</v>
      </c>
      <c r="S67" s="2"/>
      <c r="T67" s="3">
        <f t="shared" si="35"/>
        <v>0</v>
      </c>
      <c r="U67" s="4" t="str">
        <f t="shared" si="36"/>
        <v/>
      </c>
      <c r="V67" s="3">
        <f>0</f>
        <v>0</v>
      </c>
      <c r="W67" s="2"/>
      <c r="X67" s="3">
        <f t="shared" si="37"/>
        <v>0</v>
      </c>
      <c r="Y67" s="4" t="str">
        <f t="shared" si="38"/>
        <v/>
      </c>
      <c r="Z67" s="3">
        <f>0</f>
        <v>0</v>
      </c>
      <c r="AA67" s="2"/>
      <c r="AB67" s="3">
        <f t="shared" si="39"/>
        <v>0</v>
      </c>
      <c r="AC67" s="4" t="str">
        <f t="shared" si="40"/>
        <v/>
      </c>
      <c r="AD67" s="3">
        <f>-0.01</f>
        <v>-0.01</v>
      </c>
      <c r="AE67" s="2"/>
      <c r="AF67" s="3">
        <f t="shared" si="41"/>
        <v>-0.01</v>
      </c>
      <c r="AG67" s="4" t="str">
        <f t="shared" si="42"/>
        <v/>
      </c>
      <c r="AH67" s="3">
        <f>119.37</f>
        <v>119.37</v>
      </c>
      <c r="AI67" s="2"/>
      <c r="AJ67" s="3">
        <f t="shared" si="43"/>
        <v>119.37</v>
      </c>
      <c r="AK67" s="4" t="str">
        <f t="shared" si="44"/>
        <v/>
      </c>
      <c r="AL67" s="3">
        <f>243.38</f>
        <v>243.38</v>
      </c>
      <c r="AM67" s="2"/>
      <c r="AN67" s="3">
        <f t="shared" si="45"/>
        <v>243.38</v>
      </c>
      <c r="AO67" s="4" t="str">
        <f t="shared" si="46"/>
        <v/>
      </c>
      <c r="AP67" s="3">
        <f>-487.74</f>
        <v>-487.74</v>
      </c>
      <c r="AQ67" s="2"/>
      <c r="AR67" s="3">
        <f t="shared" si="47"/>
        <v>-487.74</v>
      </c>
      <c r="AS67" s="4" t="str">
        <f t="shared" si="48"/>
        <v/>
      </c>
      <c r="AT67" s="3">
        <f t="shared" si="49"/>
        <v>0</v>
      </c>
      <c r="AU67" s="3">
        <f t="shared" si="50"/>
        <v>0</v>
      </c>
      <c r="AV67" s="3">
        <f t="shared" si="51"/>
        <v>0</v>
      </c>
      <c r="AW67" s="4" t="str">
        <f t="shared" si="52"/>
        <v/>
      </c>
    </row>
    <row r="68" spans="1:49">
      <c r="A68" s="1" t="s">
        <v>80</v>
      </c>
      <c r="B68" s="5">
        <f>(((B64)+(B65))+(B66))+(B67)</f>
        <v>1087.6600000000001</v>
      </c>
      <c r="C68" s="5">
        <f>(((C64)+(C65))+(C66))+(C67)</f>
        <v>766.66</v>
      </c>
      <c r="D68" s="5">
        <f t="shared" si="27"/>
        <v>321.00000000000011</v>
      </c>
      <c r="E68" s="6">
        <f t="shared" si="28"/>
        <v>1.418699293037331</v>
      </c>
      <c r="F68" s="5">
        <f>(((F64)+(F65))+(F66))+(F67)</f>
        <v>767.19</v>
      </c>
      <c r="G68" s="5">
        <f>(((G64)+(G65))+(G66))+(G67)</f>
        <v>766.66</v>
      </c>
      <c r="H68" s="5">
        <f t="shared" si="29"/>
        <v>0.5300000000000864</v>
      </c>
      <c r="I68" s="6">
        <f t="shared" si="30"/>
        <v>1.0006913103592205</v>
      </c>
      <c r="J68" s="5">
        <f>(((J64)+(J65))+(J66))+(J67)</f>
        <v>680.96</v>
      </c>
      <c r="K68" s="5">
        <f>(((K64)+(K65))+(K66))+(K67)</f>
        <v>766.66</v>
      </c>
      <c r="L68" s="5">
        <f t="shared" si="31"/>
        <v>-85.699999999999932</v>
      </c>
      <c r="M68" s="6">
        <f t="shared" si="32"/>
        <v>0.88821641927321116</v>
      </c>
      <c r="N68" s="5">
        <f>(((N64)+(N65))+(N66))+(N67)</f>
        <v>677.38</v>
      </c>
      <c r="O68" s="5">
        <f>(((O64)+(O65))+(O66))+(O67)</f>
        <v>766.66</v>
      </c>
      <c r="P68" s="5">
        <f t="shared" si="33"/>
        <v>-89.279999999999973</v>
      </c>
      <c r="Q68" s="6">
        <f t="shared" si="34"/>
        <v>0.88354681345055175</v>
      </c>
      <c r="R68" s="5">
        <f>(((R64)+(R65))+(R66))+(R67)</f>
        <v>878.81999999999994</v>
      </c>
      <c r="S68" s="5">
        <f>(((S64)+(S65))+(S66))+(S67)</f>
        <v>766.66</v>
      </c>
      <c r="T68" s="5">
        <f t="shared" si="35"/>
        <v>112.15999999999997</v>
      </c>
      <c r="U68" s="6">
        <f t="shared" si="36"/>
        <v>1.146296924321081</v>
      </c>
      <c r="V68" s="5">
        <f>(((V64)+(V65))+(V66))+(V67)</f>
        <v>797.46</v>
      </c>
      <c r="W68" s="5">
        <f>(((W64)+(W65))+(W66))+(W67)</f>
        <v>766.66</v>
      </c>
      <c r="X68" s="5">
        <f t="shared" si="37"/>
        <v>30.800000000000068</v>
      </c>
      <c r="Y68" s="6">
        <f t="shared" si="38"/>
        <v>1.0401742623848904</v>
      </c>
      <c r="Z68" s="5">
        <f>(((Z64)+(Z65))+(Z66))+(Z67)</f>
        <v>744.71</v>
      </c>
      <c r="AA68" s="5">
        <f>(((AA64)+(AA65))+(AA66))+(AA67)</f>
        <v>766.66</v>
      </c>
      <c r="AB68" s="5">
        <f t="shared" si="39"/>
        <v>-21.949999999999932</v>
      </c>
      <c r="AC68" s="6">
        <f t="shared" si="40"/>
        <v>0.97136931625492406</v>
      </c>
      <c r="AD68" s="5">
        <f>(((AD64)+(AD65))+(AD66))+(AD67)</f>
        <v>1183.6600000000001</v>
      </c>
      <c r="AE68" s="5">
        <f>(((AE64)+(AE65))+(AE66))+(AE67)</f>
        <v>766.66</v>
      </c>
      <c r="AF68" s="5">
        <f t="shared" si="41"/>
        <v>417.00000000000011</v>
      </c>
      <c r="AG68" s="6">
        <f t="shared" si="42"/>
        <v>1.543917773198028</v>
      </c>
      <c r="AH68" s="5">
        <f>(((AH64)+(AH65))+(AH66))+(AH67)</f>
        <v>750.11</v>
      </c>
      <c r="AI68" s="5">
        <f>(((AI64)+(AI65))+(AI66))+(AI67)</f>
        <v>766.66</v>
      </c>
      <c r="AJ68" s="5">
        <f t="shared" si="43"/>
        <v>-16.549999999999955</v>
      </c>
      <c r="AK68" s="6">
        <f t="shared" si="44"/>
        <v>0.9784128557639632</v>
      </c>
      <c r="AL68" s="5">
        <f>(((AL64)+(AL65))+(AL66))+(AL67)</f>
        <v>1029.73</v>
      </c>
      <c r="AM68" s="5">
        <f>(((AM64)+(AM65))+(AM66))+(AM67)</f>
        <v>766.66</v>
      </c>
      <c r="AN68" s="5">
        <f t="shared" si="45"/>
        <v>263.07000000000005</v>
      </c>
      <c r="AO68" s="6">
        <f t="shared" si="46"/>
        <v>1.3431377664153603</v>
      </c>
      <c r="AP68" s="5">
        <f>(((AP64)+(AP65))+(AP66))+(AP67)</f>
        <v>509.42999999999995</v>
      </c>
      <c r="AQ68" s="5">
        <f>(((AQ64)+(AQ65))+(AQ66))+(AQ67)</f>
        <v>766.66</v>
      </c>
      <c r="AR68" s="5">
        <f t="shared" si="47"/>
        <v>-257.23</v>
      </c>
      <c r="AS68" s="6">
        <f t="shared" si="48"/>
        <v>0.66447969112774885</v>
      </c>
      <c r="AT68" s="5">
        <f t="shared" si="49"/>
        <v>9107.11</v>
      </c>
      <c r="AU68" s="5">
        <f t="shared" si="50"/>
        <v>8433.26</v>
      </c>
      <c r="AV68" s="5">
        <f t="shared" si="51"/>
        <v>673.85000000000036</v>
      </c>
      <c r="AW68" s="6">
        <f t="shared" si="52"/>
        <v>1.0799038568714827</v>
      </c>
    </row>
    <row r="69" spans="1:49">
      <c r="A69" s="1" t="s">
        <v>81</v>
      </c>
      <c r="B69" s="2"/>
      <c r="C69" s="2"/>
      <c r="D69" s="3">
        <f t="shared" si="27"/>
        <v>0</v>
      </c>
      <c r="E69" s="4" t="str">
        <f t="shared" si="28"/>
        <v/>
      </c>
      <c r="F69" s="2"/>
      <c r="G69" s="2"/>
      <c r="H69" s="3">
        <f t="shared" si="29"/>
        <v>0</v>
      </c>
      <c r="I69" s="4" t="str">
        <f t="shared" si="30"/>
        <v/>
      </c>
      <c r="J69" s="2"/>
      <c r="K69" s="2"/>
      <c r="L69" s="3">
        <f t="shared" si="31"/>
        <v>0</v>
      </c>
      <c r="M69" s="4" t="str">
        <f t="shared" si="32"/>
        <v/>
      </c>
      <c r="N69" s="2"/>
      <c r="O69" s="2"/>
      <c r="P69" s="3">
        <f t="shared" si="33"/>
        <v>0</v>
      </c>
      <c r="Q69" s="4" t="str">
        <f t="shared" si="34"/>
        <v/>
      </c>
      <c r="R69" s="2"/>
      <c r="S69" s="2"/>
      <c r="T69" s="3">
        <f t="shared" si="35"/>
        <v>0</v>
      </c>
      <c r="U69" s="4" t="str">
        <f t="shared" si="36"/>
        <v/>
      </c>
      <c r="V69" s="2"/>
      <c r="W69" s="2"/>
      <c r="X69" s="3">
        <f t="shared" si="37"/>
        <v>0</v>
      </c>
      <c r="Y69" s="4" t="str">
        <f t="shared" si="38"/>
        <v/>
      </c>
      <c r="Z69" s="2"/>
      <c r="AA69" s="2"/>
      <c r="AB69" s="3">
        <f t="shared" si="39"/>
        <v>0</v>
      </c>
      <c r="AC69" s="4" t="str">
        <f t="shared" si="40"/>
        <v/>
      </c>
      <c r="AD69" s="2"/>
      <c r="AE69" s="2"/>
      <c r="AF69" s="3">
        <f t="shared" si="41"/>
        <v>0</v>
      </c>
      <c r="AG69" s="4" t="str">
        <f t="shared" si="42"/>
        <v/>
      </c>
      <c r="AH69" s="2"/>
      <c r="AI69" s="2"/>
      <c r="AJ69" s="3">
        <f t="shared" si="43"/>
        <v>0</v>
      </c>
      <c r="AK69" s="4" t="str">
        <f t="shared" si="44"/>
        <v/>
      </c>
      <c r="AL69" s="2"/>
      <c r="AM69" s="2"/>
      <c r="AN69" s="3">
        <f t="shared" si="45"/>
        <v>0</v>
      </c>
      <c r="AO69" s="4" t="str">
        <f t="shared" si="46"/>
        <v/>
      </c>
      <c r="AP69" s="2"/>
      <c r="AQ69" s="2"/>
      <c r="AR69" s="3">
        <f t="shared" si="47"/>
        <v>0</v>
      </c>
      <c r="AS69" s="4" t="str">
        <f t="shared" si="48"/>
        <v/>
      </c>
      <c r="AT69" s="3">
        <f t="shared" si="49"/>
        <v>0</v>
      </c>
      <c r="AU69" s="3">
        <f t="shared" si="50"/>
        <v>0</v>
      </c>
      <c r="AV69" s="3">
        <f t="shared" si="51"/>
        <v>0</v>
      </c>
      <c r="AW69" s="4" t="str">
        <f t="shared" si="52"/>
        <v/>
      </c>
    </row>
    <row r="70" spans="1:49">
      <c r="A70" s="1" t="s">
        <v>82</v>
      </c>
      <c r="B70" s="2"/>
      <c r="C70" s="3">
        <f>260</f>
        <v>260</v>
      </c>
      <c r="D70" s="3">
        <f t="shared" si="27"/>
        <v>-260</v>
      </c>
      <c r="E70" s="4">
        <f t="shared" si="28"/>
        <v>0</v>
      </c>
      <c r="F70" s="2"/>
      <c r="G70" s="3">
        <f>260</f>
        <v>260</v>
      </c>
      <c r="H70" s="3">
        <f t="shared" si="29"/>
        <v>-260</v>
      </c>
      <c r="I70" s="4">
        <f t="shared" si="30"/>
        <v>0</v>
      </c>
      <c r="J70" s="2"/>
      <c r="K70" s="3">
        <f>260</f>
        <v>260</v>
      </c>
      <c r="L70" s="3">
        <f t="shared" si="31"/>
        <v>-260</v>
      </c>
      <c r="M70" s="4">
        <f t="shared" si="32"/>
        <v>0</v>
      </c>
      <c r="N70" s="2"/>
      <c r="O70" s="3">
        <f>260</f>
        <v>260</v>
      </c>
      <c r="P70" s="3">
        <f t="shared" si="33"/>
        <v>-260</v>
      </c>
      <c r="Q70" s="4">
        <f t="shared" si="34"/>
        <v>0</v>
      </c>
      <c r="R70" s="2"/>
      <c r="S70" s="3">
        <f>260</f>
        <v>260</v>
      </c>
      <c r="T70" s="3">
        <f t="shared" si="35"/>
        <v>-260</v>
      </c>
      <c r="U70" s="4">
        <f t="shared" si="36"/>
        <v>0</v>
      </c>
      <c r="V70" s="2"/>
      <c r="W70" s="3">
        <f>260</f>
        <v>260</v>
      </c>
      <c r="X70" s="3">
        <f t="shared" si="37"/>
        <v>-260</v>
      </c>
      <c r="Y70" s="4">
        <f t="shared" si="38"/>
        <v>0</v>
      </c>
      <c r="Z70" s="2"/>
      <c r="AA70" s="3">
        <f>260</f>
        <v>260</v>
      </c>
      <c r="AB70" s="3">
        <f t="shared" si="39"/>
        <v>-260</v>
      </c>
      <c r="AC70" s="4">
        <f t="shared" si="40"/>
        <v>0</v>
      </c>
      <c r="AD70" s="2"/>
      <c r="AE70" s="3">
        <f>260</f>
        <v>260</v>
      </c>
      <c r="AF70" s="3">
        <f t="shared" si="41"/>
        <v>-260</v>
      </c>
      <c r="AG70" s="4">
        <f t="shared" si="42"/>
        <v>0</v>
      </c>
      <c r="AH70" s="2"/>
      <c r="AI70" s="3">
        <f>260</f>
        <v>260</v>
      </c>
      <c r="AJ70" s="3">
        <f t="shared" si="43"/>
        <v>-260</v>
      </c>
      <c r="AK70" s="4">
        <f t="shared" si="44"/>
        <v>0</v>
      </c>
      <c r="AL70" s="3">
        <f>3120</f>
        <v>3120</v>
      </c>
      <c r="AM70" s="3">
        <f>260</f>
        <v>260</v>
      </c>
      <c r="AN70" s="3">
        <f t="shared" si="45"/>
        <v>2860</v>
      </c>
      <c r="AO70" s="4">
        <f t="shared" si="46"/>
        <v>12</v>
      </c>
      <c r="AP70" s="3">
        <f>0</f>
        <v>0</v>
      </c>
      <c r="AQ70" s="3">
        <f>260</f>
        <v>260</v>
      </c>
      <c r="AR70" s="3">
        <f t="shared" si="47"/>
        <v>-260</v>
      </c>
      <c r="AS70" s="4">
        <f t="shared" si="48"/>
        <v>0</v>
      </c>
      <c r="AT70" s="3">
        <f t="shared" si="49"/>
        <v>3120</v>
      </c>
      <c r="AU70" s="3">
        <f t="shared" si="50"/>
        <v>2860</v>
      </c>
      <c r="AV70" s="3">
        <f t="shared" si="51"/>
        <v>260</v>
      </c>
      <c r="AW70" s="4">
        <f t="shared" si="52"/>
        <v>1.0909090909090908</v>
      </c>
    </row>
    <row r="71" spans="1:49">
      <c r="A71" s="1" t="s">
        <v>83</v>
      </c>
      <c r="B71" s="2"/>
      <c r="C71" s="3">
        <f>140</f>
        <v>140</v>
      </c>
      <c r="D71" s="3">
        <f t="shared" si="27"/>
        <v>-140</v>
      </c>
      <c r="E71" s="4">
        <f t="shared" si="28"/>
        <v>0</v>
      </c>
      <c r="F71" s="2"/>
      <c r="G71" s="3">
        <f>140</f>
        <v>140</v>
      </c>
      <c r="H71" s="3">
        <f t="shared" si="29"/>
        <v>-140</v>
      </c>
      <c r="I71" s="4">
        <f t="shared" si="30"/>
        <v>0</v>
      </c>
      <c r="J71" s="2"/>
      <c r="K71" s="3">
        <f>140</f>
        <v>140</v>
      </c>
      <c r="L71" s="3">
        <f t="shared" si="31"/>
        <v>-140</v>
      </c>
      <c r="M71" s="4">
        <f t="shared" si="32"/>
        <v>0</v>
      </c>
      <c r="N71" s="2"/>
      <c r="O71" s="3">
        <f>140</f>
        <v>140</v>
      </c>
      <c r="P71" s="3">
        <f t="shared" si="33"/>
        <v>-140</v>
      </c>
      <c r="Q71" s="4">
        <f t="shared" si="34"/>
        <v>0</v>
      </c>
      <c r="R71" s="2"/>
      <c r="S71" s="3">
        <f>140</f>
        <v>140</v>
      </c>
      <c r="T71" s="3">
        <f t="shared" si="35"/>
        <v>-140</v>
      </c>
      <c r="U71" s="4">
        <f t="shared" si="36"/>
        <v>0</v>
      </c>
      <c r="V71" s="2"/>
      <c r="W71" s="3">
        <f>140</f>
        <v>140</v>
      </c>
      <c r="X71" s="3">
        <f t="shared" si="37"/>
        <v>-140</v>
      </c>
      <c r="Y71" s="4">
        <f t="shared" si="38"/>
        <v>0</v>
      </c>
      <c r="Z71" s="2"/>
      <c r="AA71" s="3">
        <f>140</f>
        <v>140</v>
      </c>
      <c r="AB71" s="3">
        <f t="shared" si="39"/>
        <v>-140</v>
      </c>
      <c r="AC71" s="4">
        <f t="shared" si="40"/>
        <v>0</v>
      </c>
      <c r="AD71" s="2"/>
      <c r="AE71" s="3">
        <f>140</f>
        <v>140</v>
      </c>
      <c r="AF71" s="3">
        <f t="shared" si="41"/>
        <v>-140</v>
      </c>
      <c r="AG71" s="4">
        <f t="shared" si="42"/>
        <v>0</v>
      </c>
      <c r="AH71" s="2"/>
      <c r="AI71" s="3">
        <f>140</f>
        <v>140</v>
      </c>
      <c r="AJ71" s="3">
        <f t="shared" si="43"/>
        <v>-140</v>
      </c>
      <c r="AK71" s="4">
        <f t="shared" si="44"/>
        <v>0</v>
      </c>
      <c r="AL71" s="3">
        <f>1680</f>
        <v>1680</v>
      </c>
      <c r="AM71" s="3">
        <f>140</f>
        <v>140</v>
      </c>
      <c r="AN71" s="3">
        <f t="shared" si="45"/>
        <v>1540</v>
      </c>
      <c r="AO71" s="4">
        <f t="shared" si="46"/>
        <v>12</v>
      </c>
      <c r="AP71" s="3">
        <f>0</f>
        <v>0</v>
      </c>
      <c r="AQ71" s="3">
        <f>140</f>
        <v>140</v>
      </c>
      <c r="AR71" s="3">
        <f t="shared" si="47"/>
        <v>-140</v>
      </c>
      <c r="AS71" s="4">
        <f t="shared" si="48"/>
        <v>0</v>
      </c>
      <c r="AT71" s="3">
        <f t="shared" si="49"/>
        <v>1680</v>
      </c>
      <c r="AU71" s="3">
        <f t="shared" si="50"/>
        <v>1540</v>
      </c>
      <c r="AV71" s="3">
        <f t="shared" si="51"/>
        <v>140</v>
      </c>
      <c r="AW71" s="4">
        <f t="shared" si="52"/>
        <v>1.0909090909090908</v>
      </c>
    </row>
    <row r="72" spans="1:49">
      <c r="A72" s="1" t="s">
        <v>84</v>
      </c>
      <c r="B72" s="2"/>
      <c r="C72" s="2"/>
      <c r="D72" s="3">
        <f t="shared" si="27"/>
        <v>0</v>
      </c>
      <c r="E72" s="4" t="str">
        <f t="shared" si="28"/>
        <v/>
      </c>
      <c r="F72" s="2"/>
      <c r="G72" s="2"/>
      <c r="H72" s="3">
        <f t="shared" si="29"/>
        <v>0</v>
      </c>
      <c r="I72" s="4" t="str">
        <f t="shared" si="30"/>
        <v/>
      </c>
      <c r="J72" s="2"/>
      <c r="K72" s="2"/>
      <c r="L72" s="3">
        <f t="shared" si="31"/>
        <v>0</v>
      </c>
      <c r="M72" s="4" t="str">
        <f t="shared" si="32"/>
        <v/>
      </c>
      <c r="N72" s="2"/>
      <c r="O72" s="2"/>
      <c r="P72" s="3">
        <f t="shared" si="33"/>
        <v>0</v>
      </c>
      <c r="Q72" s="4" t="str">
        <f t="shared" si="34"/>
        <v/>
      </c>
      <c r="R72" s="2"/>
      <c r="S72" s="2"/>
      <c r="T72" s="3">
        <f t="shared" si="35"/>
        <v>0</v>
      </c>
      <c r="U72" s="4" t="str">
        <f t="shared" si="36"/>
        <v/>
      </c>
      <c r="V72" s="3">
        <f>4800</f>
        <v>4800</v>
      </c>
      <c r="W72" s="2"/>
      <c r="X72" s="3">
        <f t="shared" si="37"/>
        <v>4800</v>
      </c>
      <c r="Y72" s="4" t="str">
        <f t="shared" si="38"/>
        <v/>
      </c>
      <c r="Z72" s="2"/>
      <c r="AA72" s="2"/>
      <c r="AB72" s="3">
        <f t="shared" si="39"/>
        <v>0</v>
      </c>
      <c r="AC72" s="4" t="str">
        <f t="shared" si="40"/>
        <v/>
      </c>
      <c r="AD72" s="2"/>
      <c r="AE72" s="2"/>
      <c r="AF72" s="3">
        <f t="shared" si="41"/>
        <v>0</v>
      </c>
      <c r="AG72" s="4" t="str">
        <f t="shared" si="42"/>
        <v/>
      </c>
      <c r="AH72" s="2"/>
      <c r="AI72" s="2"/>
      <c r="AJ72" s="3">
        <f t="shared" si="43"/>
        <v>0</v>
      </c>
      <c r="AK72" s="4" t="str">
        <f t="shared" si="44"/>
        <v/>
      </c>
      <c r="AL72" s="3">
        <f>-4800</f>
        <v>-4800</v>
      </c>
      <c r="AM72" s="2"/>
      <c r="AN72" s="3">
        <f t="shared" si="45"/>
        <v>-4800</v>
      </c>
      <c r="AO72" s="4" t="str">
        <f t="shared" si="46"/>
        <v/>
      </c>
      <c r="AP72" s="3">
        <f>0</f>
        <v>0</v>
      </c>
      <c r="AQ72" s="2"/>
      <c r="AR72" s="3">
        <f t="shared" si="47"/>
        <v>0</v>
      </c>
      <c r="AS72" s="4" t="str">
        <f t="shared" si="48"/>
        <v/>
      </c>
      <c r="AT72" s="3">
        <f t="shared" si="49"/>
        <v>0</v>
      </c>
      <c r="AU72" s="3">
        <f t="shared" si="50"/>
        <v>0</v>
      </c>
      <c r="AV72" s="3">
        <f t="shared" si="51"/>
        <v>0</v>
      </c>
      <c r="AW72" s="4" t="str">
        <f t="shared" si="52"/>
        <v/>
      </c>
    </row>
    <row r="73" spans="1:49">
      <c r="A73" s="1" t="s">
        <v>85</v>
      </c>
      <c r="B73" s="5">
        <f>(((B69)+(B70))+(B71))+(B72)</f>
        <v>0</v>
      </c>
      <c r="C73" s="5">
        <f>(((C69)+(C70))+(C71))+(C72)</f>
        <v>400</v>
      </c>
      <c r="D73" s="5">
        <f t="shared" si="27"/>
        <v>-400</v>
      </c>
      <c r="E73" s="6">
        <f t="shared" si="28"/>
        <v>0</v>
      </c>
      <c r="F73" s="5">
        <f>(((F69)+(F70))+(F71))+(F72)</f>
        <v>0</v>
      </c>
      <c r="G73" s="5">
        <f>(((G69)+(G70))+(G71))+(G72)</f>
        <v>400</v>
      </c>
      <c r="H73" s="5">
        <f t="shared" si="29"/>
        <v>-400</v>
      </c>
      <c r="I73" s="6">
        <f t="shared" si="30"/>
        <v>0</v>
      </c>
      <c r="J73" s="5">
        <f>(((J69)+(J70))+(J71))+(J72)</f>
        <v>0</v>
      </c>
      <c r="K73" s="5">
        <f>(((K69)+(K70))+(K71))+(K72)</f>
        <v>400</v>
      </c>
      <c r="L73" s="5">
        <f t="shared" si="31"/>
        <v>-400</v>
      </c>
      <c r="M73" s="6">
        <f t="shared" si="32"/>
        <v>0</v>
      </c>
      <c r="N73" s="5">
        <f>(((N69)+(N70))+(N71))+(N72)</f>
        <v>0</v>
      </c>
      <c r="O73" s="5">
        <f>(((O69)+(O70))+(O71))+(O72)</f>
        <v>400</v>
      </c>
      <c r="P73" s="5">
        <f t="shared" si="33"/>
        <v>-400</v>
      </c>
      <c r="Q73" s="6">
        <f t="shared" si="34"/>
        <v>0</v>
      </c>
      <c r="R73" s="5">
        <f>(((R69)+(R70))+(R71))+(R72)</f>
        <v>0</v>
      </c>
      <c r="S73" s="5">
        <f>(((S69)+(S70))+(S71))+(S72)</f>
        <v>400</v>
      </c>
      <c r="T73" s="5">
        <f t="shared" si="35"/>
        <v>-400</v>
      </c>
      <c r="U73" s="6">
        <f t="shared" si="36"/>
        <v>0</v>
      </c>
      <c r="V73" s="5">
        <f>(((V69)+(V70))+(V71))+(V72)</f>
        <v>4800</v>
      </c>
      <c r="W73" s="5">
        <f>(((W69)+(W70))+(W71))+(W72)</f>
        <v>400</v>
      </c>
      <c r="X73" s="5">
        <f t="shared" si="37"/>
        <v>4400</v>
      </c>
      <c r="Y73" s="6">
        <f t="shared" si="38"/>
        <v>12</v>
      </c>
      <c r="Z73" s="5">
        <f>(((Z69)+(Z70))+(Z71))+(Z72)</f>
        <v>0</v>
      </c>
      <c r="AA73" s="5">
        <f>(((AA69)+(AA70))+(AA71))+(AA72)</f>
        <v>400</v>
      </c>
      <c r="AB73" s="5">
        <f t="shared" si="39"/>
        <v>-400</v>
      </c>
      <c r="AC73" s="6">
        <f t="shared" si="40"/>
        <v>0</v>
      </c>
      <c r="AD73" s="5">
        <f>(((AD69)+(AD70))+(AD71))+(AD72)</f>
        <v>0</v>
      </c>
      <c r="AE73" s="5">
        <f>(((AE69)+(AE70))+(AE71))+(AE72)</f>
        <v>400</v>
      </c>
      <c r="AF73" s="5">
        <f t="shared" si="41"/>
        <v>-400</v>
      </c>
      <c r="AG73" s="6">
        <f t="shared" si="42"/>
        <v>0</v>
      </c>
      <c r="AH73" s="5">
        <f>(((AH69)+(AH70))+(AH71))+(AH72)</f>
        <v>0</v>
      </c>
      <c r="AI73" s="5">
        <f>(((AI69)+(AI70))+(AI71))+(AI72)</f>
        <v>400</v>
      </c>
      <c r="AJ73" s="5">
        <f t="shared" si="43"/>
        <v>-400</v>
      </c>
      <c r="AK73" s="6">
        <f t="shared" si="44"/>
        <v>0</v>
      </c>
      <c r="AL73" s="5">
        <f>(((AL69)+(AL70))+(AL71))+(AL72)</f>
        <v>0</v>
      </c>
      <c r="AM73" s="5">
        <f>(((AM69)+(AM70))+(AM71))+(AM72)</f>
        <v>400</v>
      </c>
      <c r="AN73" s="5">
        <f t="shared" si="45"/>
        <v>-400</v>
      </c>
      <c r="AO73" s="6">
        <f t="shared" si="46"/>
        <v>0</v>
      </c>
      <c r="AP73" s="5">
        <f>(((AP69)+(AP70))+(AP71))+(AP72)</f>
        <v>0</v>
      </c>
      <c r="AQ73" s="5">
        <f>(((AQ69)+(AQ70))+(AQ71))+(AQ72)</f>
        <v>400</v>
      </c>
      <c r="AR73" s="5">
        <f t="shared" si="47"/>
        <v>-400</v>
      </c>
      <c r="AS73" s="6">
        <f t="shared" si="48"/>
        <v>0</v>
      </c>
      <c r="AT73" s="5">
        <f t="shared" si="49"/>
        <v>4800</v>
      </c>
      <c r="AU73" s="5">
        <f t="shared" si="50"/>
        <v>4400</v>
      </c>
      <c r="AV73" s="5">
        <f t="shared" si="51"/>
        <v>400</v>
      </c>
      <c r="AW73" s="6">
        <f t="shared" si="52"/>
        <v>1.0909090909090908</v>
      </c>
    </row>
    <row r="74" spans="1:49">
      <c r="A74" s="1" t="s">
        <v>86</v>
      </c>
      <c r="B74" s="2"/>
      <c r="C74" s="2"/>
      <c r="D74" s="3">
        <f t="shared" si="27"/>
        <v>0</v>
      </c>
      <c r="E74" s="4" t="str">
        <f t="shared" si="28"/>
        <v/>
      </c>
      <c r="F74" s="2"/>
      <c r="G74" s="2"/>
      <c r="H74" s="3">
        <f t="shared" si="29"/>
        <v>0</v>
      </c>
      <c r="I74" s="4" t="str">
        <f t="shared" si="30"/>
        <v/>
      </c>
      <c r="J74" s="2"/>
      <c r="K74" s="2"/>
      <c r="L74" s="3">
        <f t="shared" si="31"/>
        <v>0</v>
      </c>
      <c r="M74" s="4" t="str">
        <f t="shared" si="32"/>
        <v/>
      </c>
      <c r="N74" s="2"/>
      <c r="O74" s="2"/>
      <c r="P74" s="3">
        <f t="shared" si="33"/>
        <v>0</v>
      </c>
      <c r="Q74" s="4" t="str">
        <f t="shared" si="34"/>
        <v/>
      </c>
      <c r="R74" s="2"/>
      <c r="S74" s="2"/>
      <c r="T74" s="3">
        <f t="shared" si="35"/>
        <v>0</v>
      </c>
      <c r="U74" s="4" t="str">
        <f t="shared" si="36"/>
        <v/>
      </c>
      <c r="V74" s="2"/>
      <c r="W74" s="2"/>
      <c r="X74" s="3">
        <f t="shared" si="37"/>
        <v>0</v>
      </c>
      <c r="Y74" s="4" t="str">
        <f t="shared" si="38"/>
        <v/>
      </c>
      <c r="Z74" s="2"/>
      <c r="AA74" s="2"/>
      <c r="AB74" s="3">
        <f t="shared" si="39"/>
        <v>0</v>
      </c>
      <c r="AC74" s="4" t="str">
        <f t="shared" si="40"/>
        <v/>
      </c>
      <c r="AD74" s="2"/>
      <c r="AE74" s="2"/>
      <c r="AF74" s="3">
        <f t="shared" si="41"/>
        <v>0</v>
      </c>
      <c r="AG74" s="4" t="str">
        <f t="shared" si="42"/>
        <v/>
      </c>
      <c r="AH74" s="2"/>
      <c r="AI74" s="2"/>
      <c r="AJ74" s="3">
        <f t="shared" si="43"/>
        <v>0</v>
      </c>
      <c r="AK74" s="4" t="str">
        <f t="shared" si="44"/>
        <v/>
      </c>
      <c r="AL74" s="2"/>
      <c r="AM74" s="2"/>
      <c r="AN74" s="3">
        <f t="shared" si="45"/>
        <v>0</v>
      </c>
      <c r="AO74" s="4" t="str">
        <f t="shared" si="46"/>
        <v/>
      </c>
      <c r="AP74" s="2"/>
      <c r="AQ74" s="2"/>
      <c r="AR74" s="3">
        <f t="shared" si="47"/>
        <v>0</v>
      </c>
      <c r="AS74" s="4" t="str">
        <f t="shared" si="48"/>
        <v/>
      </c>
      <c r="AT74" s="3">
        <f t="shared" si="49"/>
        <v>0</v>
      </c>
      <c r="AU74" s="3">
        <f t="shared" si="50"/>
        <v>0</v>
      </c>
      <c r="AV74" s="3">
        <f t="shared" si="51"/>
        <v>0</v>
      </c>
      <c r="AW74" s="4" t="str">
        <f t="shared" si="52"/>
        <v/>
      </c>
    </row>
    <row r="75" spans="1:49">
      <c r="A75" s="1" t="s">
        <v>87</v>
      </c>
      <c r="B75" s="3">
        <f>132.8</f>
        <v>132.80000000000001</v>
      </c>
      <c r="C75" s="3">
        <f>237.95</f>
        <v>237.95</v>
      </c>
      <c r="D75" s="3">
        <f t="shared" si="27"/>
        <v>-105.14999999999998</v>
      </c>
      <c r="E75" s="4">
        <f t="shared" si="28"/>
        <v>0.55810044126917424</v>
      </c>
      <c r="F75" s="3">
        <f>150.53</f>
        <v>150.53</v>
      </c>
      <c r="G75" s="3">
        <f>237.95</f>
        <v>237.95</v>
      </c>
      <c r="H75" s="3">
        <f t="shared" si="29"/>
        <v>-87.419999999999987</v>
      </c>
      <c r="I75" s="4">
        <f t="shared" si="30"/>
        <v>0.63261189325488554</v>
      </c>
      <c r="J75" s="3">
        <f>154.26</f>
        <v>154.26</v>
      </c>
      <c r="K75" s="3">
        <f>237.95</f>
        <v>237.95</v>
      </c>
      <c r="L75" s="3">
        <f t="shared" si="31"/>
        <v>-83.69</v>
      </c>
      <c r="M75" s="4">
        <f t="shared" si="32"/>
        <v>0.64828745534776211</v>
      </c>
      <c r="N75" s="3">
        <f>115.8</f>
        <v>115.8</v>
      </c>
      <c r="O75" s="3">
        <f>237.95</f>
        <v>237.95</v>
      </c>
      <c r="P75" s="3">
        <f t="shared" si="33"/>
        <v>-122.14999999999999</v>
      </c>
      <c r="Q75" s="4">
        <f t="shared" si="34"/>
        <v>0.48665686068501784</v>
      </c>
      <c r="R75" s="3">
        <f>157.12</f>
        <v>157.12</v>
      </c>
      <c r="S75" s="3">
        <f>237.95</f>
        <v>237.95</v>
      </c>
      <c r="T75" s="3">
        <f t="shared" si="35"/>
        <v>-80.829999999999984</v>
      </c>
      <c r="U75" s="4">
        <f t="shared" si="36"/>
        <v>0.66030678714015556</v>
      </c>
      <c r="V75" s="3">
        <f>143.4</f>
        <v>143.4</v>
      </c>
      <c r="W75" s="3">
        <f>237.95</f>
        <v>237.95</v>
      </c>
      <c r="X75" s="3">
        <f t="shared" si="37"/>
        <v>-94.549999999999983</v>
      </c>
      <c r="Y75" s="4">
        <f t="shared" si="38"/>
        <v>0.60264761504517761</v>
      </c>
      <c r="Z75" s="3">
        <f>140.56</f>
        <v>140.56</v>
      </c>
      <c r="AA75" s="3">
        <f>237.95</f>
        <v>237.95</v>
      </c>
      <c r="AB75" s="3">
        <f t="shared" si="39"/>
        <v>-97.389999999999986</v>
      </c>
      <c r="AC75" s="4">
        <f t="shared" si="40"/>
        <v>0.59071233452405969</v>
      </c>
      <c r="AD75" s="3">
        <f>140.56</f>
        <v>140.56</v>
      </c>
      <c r="AE75" s="3">
        <f>237.95</f>
        <v>237.95</v>
      </c>
      <c r="AF75" s="3">
        <f t="shared" si="41"/>
        <v>-97.389999999999986</v>
      </c>
      <c r="AG75" s="4">
        <f t="shared" si="42"/>
        <v>0.59071233452405969</v>
      </c>
      <c r="AH75" s="3">
        <f>140.56</f>
        <v>140.56</v>
      </c>
      <c r="AI75" s="3">
        <f>237.95</f>
        <v>237.95</v>
      </c>
      <c r="AJ75" s="3">
        <f t="shared" si="43"/>
        <v>-97.389999999999986</v>
      </c>
      <c r="AK75" s="4">
        <f t="shared" si="44"/>
        <v>0.59071233452405969</v>
      </c>
      <c r="AL75" s="3">
        <f>0</f>
        <v>0</v>
      </c>
      <c r="AM75" s="3">
        <f>237.95</f>
        <v>237.95</v>
      </c>
      <c r="AN75" s="3">
        <f t="shared" si="45"/>
        <v>-237.95</v>
      </c>
      <c r="AO75" s="4">
        <f t="shared" si="46"/>
        <v>0</v>
      </c>
      <c r="AP75" s="3">
        <f>277.55</f>
        <v>277.55</v>
      </c>
      <c r="AQ75" s="3">
        <f>237.95</f>
        <v>237.95</v>
      </c>
      <c r="AR75" s="3">
        <f t="shared" si="47"/>
        <v>39.600000000000023</v>
      </c>
      <c r="AS75" s="4">
        <f t="shared" si="48"/>
        <v>1.1664215171254466</v>
      </c>
      <c r="AT75" s="3">
        <f t="shared" si="49"/>
        <v>1553.1399999999999</v>
      </c>
      <c r="AU75" s="3">
        <f t="shared" si="50"/>
        <v>2617.4499999999998</v>
      </c>
      <c r="AV75" s="3">
        <f t="shared" si="51"/>
        <v>-1064.31</v>
      </c>
      <c r="AW75" s="4">
        <f t="shared" si="52"/>
        <v>0.59337905213089071</v>
      </c>
    </row>
    <row r="76" spans="1:49">
      <c r="A76" s="1" t="s">
        <v>88</v>
      </c>
      <c r="B76" s="3">
        <f>71.51</f>
        <v>71.510000000000005</v>
      </c>
      <c r="C76" s="3">
        <f>128.13</f>
        <v>128.13</v>
      </c>
      <c r="D76" s="3">
        <f t="shared" si="27"/>
        <v>-56.61999999999999</v>
      </c>
      <c r="E76" s="4">
        <f t="shared" si="28"/>
        <v>0.55810504955904161</v>
      </c>
      <c r="F76" s="3">
        <f>81.06</f>
        <v>81.06</v>
      </c>
      <c r="G76" s="3">
        <f>128.13</f>
        <v>128.13</v>
      </c>
      <c r="H76" s="3">
        <f t="shared" si="29"/>
        <v>-47.069999999999993</v>
      </c>
      <c r="I76" s="4">
        <f t="shared" si="30"/>
        <v>0.63263872629360807</v>
      </c>
      <c r="J76" s="3">
        <f>83.07</f>
        <v>83.07</v>
      </c>
      <c r="K76" s="3">
        <f>128.13</f>
        <v>128.13</v>
      </c>
      <c r="L76" s="3">
        <f t="shared" si="31"/>
        <v>-45.06</v>
      </c>
      <c r="M76" s="4">
        <f t="shared" si="32"/>
        <v>0.64832591898852721</v>
      </c>
      <c r="N76" s="3">
        <f>62.35</f>
        <v>62.35</v>
      </c>
      <c r="O76" s="3">
        <f>128.13</f>
        <v>128.13</v>
      </c>
      <c r="P76" s="3">
        <f t="shared" si="33"/>
        <v>-65.78</v>
      </c>
      <c r="Q76" s="4">
        <f t="shared" si="34"/>
        <v>0.48661515648169829</v>
      </c>
      <c r="R76" s="3">
        <f>84.61</f>
        <v>84.61</v>
      </c>
      <c r="S76" s="3">
        <f>128.13</f>
        <v>128.13</v>
      </c>
      <c r="T76" s="3">
        <f t="shared" si="35"/>
        <v>-43.519999999999996</v>
      </c>
      <c r="U76" s="4">
        <f t="shared" si="36"/>
        <v>0.66034496214781868</v>
      </c>
      <c r="V76" s="3">
        <f>77.22</f>
        <v>77.22</v>
      </c>
      <c r="W76" s="3">
        <f>128.13</f>
        <v>128.13</v>
      </c>
      <c r="X76" s="3">
        <f t="shared" si="37"/>
        <v>-50.91</v>
      </c>
      <c r="Y76" s="4">
        <f t="shared" si="38"/>
        <v>0.60266916413018035</v>
      </c>
      <c r="Z76" s="3">
        <f>75.69</f>
        <v>75.69</v>
      </c>
      <c r="AA76" s="3">
        <f>128.13</f>
        <v>128.13</v>
      </c>
      <c r="AB76" s="3">
        <f t="shared" si="39"/>
        <v>-52.44</v>
      </c>
      <c r="AC76" s="4">
        <f t="shared" si="40"/>
        <v>0.59072816670568951</v>
      </c>
      <c r="AD76" s="3">
        <f>75.69</f>
        <v>75.69</v>
      </c>
      <c r="AE76" s="3">
        <f>128.13</f>
        <v>128.13</v>
      </c>
      <c r="AF76" s="3">
        <f t="shared" si="41"/>
        <v>-52.44</v>
      </c>
      <c r="AG76" s="4">
        <f t="shared" si="42"/>
        <v>0.59072816670568951</v>
      </c>
      <c r="AH76" s="3">
        <f>75.69</f>
        <v>75.69</v>
      </c>
      <c r="AI76" s="3">
        <f>128.13</f>
        <v>128.13</v>
      </c>
      <c r="AJ76" s="3">
        <f t="shared" si="43"/>
        <v>-52.44</v>
      </c>
      <c r="AK76" s="4">
        <f t="shared" si="44"/>
        <v>0.59072816670568951</v>
      </c>
      <c r="AL76" s="3">
        <f>0</f>
        <v>0</v>
      </c>
      <c r="AM76" s="3">
        <f>128.13</f>
        <v>128.13</v>
      </c>
      <c r="AN76" s="3">
        <f t="shared" si="45"/>
        <v>-128.13</v>
      </c>
      <c r="AO76" s="4">
        <f t="shared" si="46"/>
        <v>0</v>
      </c>
      <c r="AP76" s="3">
        <f>149.45</f>
        <v>149.44999999999999</v>
      </c>
      <c r="AQ76" s="3">
        <f>128.13</f>
        <v>128.13</v>
      </c>
      <c r="AR76" s="3">
        <f t="shared" si="47"/>
        <v>21.319999999999993</v>
      </c>
      <c r="AS76" s="4">
        <f t="shared" si="48"/>
        <v>1.1663935065948645</v>
      </c>
      <c r="AT76" s="3">
        <f t="shared" si="49"/>
        <v>836.34000000000015</v>
      </c>
      <c r="AU76" s="3">
        <f t="shared" si="50"/>
        <v>1409.4300000000003</v>
      </c>
      <c r="AV76" s="3">
        <f t="shared" si="51"/>
        <v>-573.09000000000015</v>
      </c>
      <c r="AW76" s="4">
        <f t="shared" si="52"/>
        <v>0.59338881675570976</v>
      </c>
    </row>
    <row r="77" spans="1:49">
      <c r="A77" s="1" t="s">
        <v>89</v>
      </c>
      <c r="B77" s="3">
        <f>0</f>
        <v>0</v>
      </c>
      <c r="C77" s="2"/>
      <c r="D77" s="3">
        <f t="shared" si="27"/>
        <v>0</v>
      </c>
      <c r="E77" s="4" t="str">
        <f t="shared" si="28"/>
        <v/>
      </c>
      <c r="F77" s="3">
        <f>0</f>
        <v>0</v>
      </c>
      <c r="G77" s="2"/>
      <c r="H77" s="3">
        <f t="shared" si="29"/>
        <v>0</v>
      </c>
      <c r="I77" s="4" t="str">
        <f t="shared" si="30"/>
        <v/>
      </c>
      <c r="J77" s="3">
        <f>0</f>
        <v>0</v>
      </c>
      <c r="K77" s="2"/>
      <c r="L77" s="3">
        <f t="shared" si="31"/>
        <v>0</v>
      </c>
      <c r="M77" s="4" t="str">
        <f t="shared" si="32"/>
        <v/>
      </c>
      <c r="N77" s="3">
        <f>0</f>
        <v>0</v>
      </c>
      <c r="O77" s="2"/>
      <c r="P77" s="3">
        <f t="shared" si="33"/>
        <v>0</v>
      </c>
      <c r="Q77" s="4" t="str">
        <f t="shared" si="34"/>
        <v/>
      </c>
      <c r="R77" s="3">
        <f>0</f>
        <v>0</v>
      </c>
      <c r="S77" s="2"/>
      <c r="T77" s="3">
        <f t="shared" si="35"/>
        <v>0</v>
      </c>
      <c r="U77" s="4" t="str">
        <f t="shared" si="36"/>
        <v/>
      </c>
      <c r="V77" s="3">
        <f>0</f>
        <v>0</v>
      </c>
      <c r="W77" s="2"/>
      <c r="X77" s="3">
        <f t="shared" si="37"/>
        <v>0</v>
      </c>
      <c r="Y77" s="4" t="str">
        <f t="shared" si="38"/>
        <v/>
      </c>
      <c r="Z77" s="3">
        <f>0</f>
        <v>0</v>
      </c>
      <c r="AA77" s="2"/>
      <c r="AB77" s="3">
        <f t="shared" si="39"/>
        <v>0</v>
      </c>
      <c r="AC77" s="4" t="str">
        <f t="shared" si="40"/>
        <v/>
      </c>
      <c r="AD77" s="3">
        <f>0</f>
        <v>0</v>
      </c>
      <c r="AE77" s="2"/>
      <c r="AF77" s="3">
        <f t="shared" si="41"/>
        <v>0</v>
      </c>
      <c r="AG77" s="4" t="str">
        <f t="shared" si="42"/>
        <v/>
      </c>
      <c r="AH77" s="3">
        <f>0</f>
        <v>0</v>
      </c>
      <c r="AI77" s="2"/>
      <c r="AJ77" s="3">
        <f t="shared" si="43"/>
        <v>0</v>
      </c>
      <c r="AK77" s="4" t="str">
        <f t="shared" si="44"/>
        <v/>
      </c>
      <c r="AL77" s="3">
        <f>0</f>
        <v>0</v>
      </c>
      <c r="AM77" s="2"/>
      <c r="AN77" s="3">
        <f t="shared" si="45"/>
        <v>0</v>
      </c>
      <c r="AO77" s="4" t="str">
        <f t="shared" si="46"/>
        <v/>
      </c>
      <c r="AP77" s="3">
        <f>0</f>
        <v>0</v>
      </c>
      <c r="AQ77" s="2"/>
      <c r="AR77" s="3">
        <f t="shared" si="47"/>
        <v>0</v>
      </c>
      <c r="AS77" s="4" t="str">
        <f t="shared" si="48"/>
        <v/>
      </c>
      <c r="AT77" s="3">
        <f t="shared" si="49"/>
        <v>0</v>
      </c>
      <c r="AU77" s="3">
        <f t="shared" si="50"/>
        <v>0</v>
      </c>
      <c r="AV77" s="3">
        <f t="shared" si="51"/>
        <v>0</v>
      </c>
      <c r="AW77" s="4" t="str">
        <f t="shared" si="52"/>
        <v/>
      </c>
    </row>
    <row r="78" spans="1:49">
      <c r="A78" s="1" t="s">
        <v>90</v>
      </c>
      <c r="B78" s="5">
        <f>(((B74)+(B75))+(B76))+(B77)</f>
        <v>204.31</v>
      </c>
      <c r="C78" s="5">
        <f>(((C74)+(C75))+(C76))+(C77)</f>
        <v>366.08</v>
      </c>
      <c r="D78" s="5">
        <f t="shared" ref="D78:D109" si="53">(B78)-(C78)</f>
        <v>-161.76999999999998</v>
      </c>
      <c r="E78" s="6">
        <f t="shared" ref="E78:E109" si="54">IF(C78=0,"",(B78)/(C78))</f>
        <v>0.55810205419580428</v>
      </c>
      <c r="F78" s="5">
        <f>(((F74)+(F75))+(F76))+(F77)</f>
        <v>231.59</v>
      </c>
      <c r="G78" s="5">
        <f>(((G74)+(G75))+(G76))+(G77)</f>
        <v>366.08</v>
      </c>
      <c r="H78" s="5">
        <f t="shared" ref="H78:H109" si="55">(F78)-(G78)</f>
        <v>-134.48999999999998</v>
      </c>
      <c r="I78" s="6">
        <f t="shared" ref="I78:I109" si="56">IF(G78=0,"",(F78)/(G78))</f>
        <v>0.632621284965035</v>
      </c>
      <c r="J78" s="5">
        <f>(((J74)+(J75))+(J76))+(J77)</f>
        <v>237.32999999999998</v>
      </c>
      <c r="K78" s="5">
        <f>(((K74)+(K75))+(K76))+(K77)</f>
        <v>366.08</v>
      </c>
      <c r="L78" s="5">
        <f t="shared" ref="L78:L109" si="57">(J78)-(K78)</f>
        <v>-128.75</v>
      </c>
      <c r="M78" s="6">
        <f t="shared" ref="M78:M109" si="58">IF(K78=0,"",(J78)/(K78))</f>
        <v>0.64830091783216781</v>
      </c>
      <c r="N78" s="5">
        <f>(((N74)+(N75))+(N76))+(N77)</f>
        <v>178.15</v>
      </c>
      <c r="O78" s="5">
        <f>(((O74)+(O75))+(O76))+(O77)</f>
        <v>366.08</v>
      </c>
      <c r="P78" s="5">
        <f t="shared" ref="P78:P109" si="59">(N78)-(O78)</f>
        <v>-187.92999999999998</v>
      </c>
      <c r="Q78" s="6">
        <f t="shared" ref="Q78:Q109" si="60">IF(O78=0,"",(N78)/(O78))</f>
        <v>0.48664226398601401</v>
      </c>
      <c r="R78" s="5">
        <f>(((R74)+(R75))+(R76))+(R77)</f>
        <v>241.73000000000002</v>
      </c>
      <c r="S78" s="5">
        <f>(((S74)+(S75))+(S76))+(S77)</f>
        <v>366.08</v>
      </c>
      <c r="T78" s="5">
        <f t="shared" ref="T78:T109" si="61">(R78)-(S78)</f>
        <v>-124.34999999999997</v>
      </c>
      <c r="U78" s="6">
        <f t="shared" ref="U78:U109" si="62">IF(S78=0,"",(R78)/(S78))</f>
        <v>0.66032014860139865</v>
      </c>
      <c r="V78" s="5">
        <f>(((V74)+(V75))+(V76))+(V77)</f>
        <v>220.62</v>
      </c>
      <c r="W78" s="5">
        <f>(((W74)+(W75))+(W76))+(W77)</f>
        <v>366.08</v>
      </c>
      <c r="X78" s="5">
        <f t="shared" ref="X78:X109" si="63">(V78)-(W78)</f>
        <v>-145.45999999999998</v>
      </c>
      <c r="Y78" s="6">
        <f t="shared" ref="Y78:Y109" si="64">IF(W78=0,"",(V78)/(W78))</f>
        <v>0.6026551573426574</v>
      </c>
      <c r="Z78" s="5">
        <f>(((Z74)+(Z75))+(Z76))+(Z77)</f>
        <v>216.25</v>
      </c>
      <c r="AA78" s="5">
        <f>(((AA74)+(AA75))+(AA76))+(AA77)</f>
        <v>366.08</v>
      </c>
      <c r="AB78" s="5">
        <f t="shared" ref="AB78:AB109" si="65">(Z78)-(AA78)</f>
        <v>-149.82999999999998</v>
      </c>
      <c r="AC78" s="6">
        <f t="shared" ref="AC78:AC109" si="66">IF(AA78=0,"",(Z78)/(AA78))</f>
        <v>0.59071787587412594</v>
      </c>
      <c r="AD78" s="5">
        <f>(((AD74)+(AD75))+(AD76))+(AD77)</f>
        <v>216.25</v>
      </c>
      <c r="AE78" s="5">
        <f>(((AE74)+(AE75))+(AE76))+(AE77)</f>
        <v>366.08</v>
      </c>
      <c r="AF78" s="5">
        <f t="shared" ref="AF78:AF109" si="67">(AD78)-(AE78)</f>
        <v>-149.82999999999998</v>
      </c>
      <c r="AG78" s="6">
        <f t="shared" ref="AG78:AG109" si="68">IF(AE78=0,"",(AD78)/(AE78))</f>
        <v>0.59071787587412594</v>
      </c>
      <c r="AH78" s="5">
        <f>(((AH74)+(AH75))+(AH76))+(AH77)</f>
        <v>216.25</v>
      </c>
      <c r="AI78" s="5">
        <f>(((AI74)+(AI75))+(AI76))+(AI77)</f>
        <v>366.08</v>
      </c>
      <c r="AJ78" s="5">
        <f t="shared" ref="AJ78:AJ109" si="69">(AH78)-(AI78)</f>
        <v>-149.82999999999998</v>
      </c>
      <c r="AK78" s="6">
        <f t="shared" ref="AK78:AK109" si="70">IF(AI78=0,"",(AH78)/(AI78))</f>
        <v>0.59071787587412594</v>
      </c>
      <c r="AL78" s="5">
        <f>(((AL74)+(AL75))+(AL76))+(AL77)</f>
        <v>0</v>
      </c>
      <c r="AM78" s="5">
        <f>(((AM74)+(AM75))+(AM76))+(AM77)</f>
        <v>366.08</v>
      </c>
      <c r="AN78" s="5">
        <f t="shared" ref="AN78:AN109" si="71">(AL78)-(AM78)</f>
        <v>-366.08</v>
      </c>
      <c r="AO78" s="6">
        <f t="shared" ref="AO78:AO109" si="72">IF(AM78=0,"",(AL78)/(AM78))</f>
        <v>0</v>
      </c>
      <c r="AP78" s="5">
        <f>(((AP74)+(AP75))+(AP76))+(AP77)</f>
        <v>427</v>
      </c>
      <c r="AQ78" s="5">
        <f>(((AQ74)+(AQ75))+(AQ76))+(AQ77)</f>
        <v>366.08</v>
      </c>
      <c r="AR78" s="5">
        <f t="shared" ref="AR78:AR109" si="73">(AP78)-(AQ78)</f>
        <v>60.920000000000016</v>
      </c>
      <c r="AS78" s="6">
        <f t="shared" ref="AS78:AS109" si="74">IF(AQ78=0,"",(AP78)/(AQ78))</f>
        <v>1.1664117132867133</v>
      </c>
      <c r="AT78" s="5">
        <f t="shared" ref="AT78:AT109" si="75">((((((((((B78)+(F78))+(J78))+(N78))+(R78))+(V78))+(Z78))+(AD78))+(AH78))+(AL78))+(AP78)</f>
        <v>2389.48</v>
      </c>
      <c r="AU78" s="5">
        <f t="shared" ref="AU78:AU109" si="76">((((((((((C78)+(G78))+(K78))+(O78))+(S78))+(W78))+(AA78))+(AE78))+(AI78))+(AM78))+(AQ78)</f>
        <v>4026.8799999999997</v>
      </c>
      <c r="AV78" s="5">
        <f t="shared" ref="AV78:AV109" si="77">(AT78)-(AU78)</f>
        <v>-1637.3999999999996</v>
      </c>
      <c r="AW78" s="6">
        <f t="shared" ref="AW78:AW109" si="78">IF(AU78=0,"",(AT78)/(AU78))</f>
        <v>0.59338246980292442</v>
      </c>
    </row>
    <row r="79" spans="1:49">
      <c r="A79" s="1" t="s">
        <v>91</v>
      </c>
      <c r="B79" s="2"/>
      <c r="C79" s="2"/>
      <c r="D79" s="3">
        <f t="shared" si="53"/>
        <v>0</v>
      </c>
      <c r="E79" s="4" t="str">
        <f t="shared" si="54"/>
        <v/>
      </c>
      <c r="F79" s="2"/>
      <c r="G79" s="2"/>
      <c r="H79" s="3">
        <f t="shared" si="55"/>
        <v>0</v>
      </c>
      <c r="I79" s="4" t="str">
        <f t="shared" si="56"/>
        <v/>
      </c>
      <c r="J79" s="2"/>
      <c r="K79" s="2"/>
      <c r="L79" s="3">
        <f t="shared" si="57"/>
        <v>0</v>
      </c>
      <c r="M79" s="4" t="str">
        <f t="shared" si="58"/>
        <v/>
      </c>
      <c r="N79" s="2"/>
      <c r="O79" s="2"/>
      <c r="P79" s="3">
        <f t="shared" si="59"/>
        <v>0</v>
      </c>
      <c r="Q79" s="4" t="str">
        <f t="shared" si="60"/>
        <v/>
      </c>
      <c r="R79" s="2"/>
      <c r="S79" s="2"/>
      <c r="T79" s="3">
        <f t="shared" si="61"/>
        <v>0</v>
      </c>
      <c r="U79" s="4" t="str">
        <f t="shared" si="62"/>
        <v/>
      </c>
      <c r="V79" s="2"/>
      <c r="W79" s="2"/>
      <c r="X79" s="3">
        <f t="shared" si="63"/>
        <v>0</v>
      </c>
      <c r="Y79" s="4" t="str">
        <f t="shared" si="64"/>
        <v/>
      </c>
      <c r="Z79" s="2"/>
      <c r="AA79" s="2"/>
      <c r="AB79" s="3">
        <f t="shared" si="65"/>
        <v>0</v>
      </c>
      <c r="AC79" s="4" t="str">
        <f t="shared" si="66"/>
        <v/>
      </c>
      <c r="AD79" s="2"/>
      <c r="AE79" s="2"/>
      <c r="AF79" s="3">
        <f t="shared" si="67"/>
        <v>0</v>
      </c>
      <c r="AG79" s="4" t="str">
        <f t="shared" si="68"/>
        <v/>
      </c>
      <c r="AH79" s="2"/>
      <c r="AI79" s="2"/>
      <c r="AJ79" s="3">
        <f t="shared" si="69"/>
        <v>0</v>
      </c>
      <c r="AK79" s="4" t="str">
        <f t="shared" si="70"/>
        <v/>
      </c>
      <c r="AL79" s="2"/>
      <c r="AM79" s="2"/>
      <c r="AN79" s="3">
        <f t="shared" si="71"/>
        <v>0</v>
      </c>
      <c r="AO79" s="4" t="str">
        <f t="shared" si="72"/>
        <v/>
      </c>
      <c r="AP79" s="2"/>
      <c r="AQ79" s="2"/>
      <c r="AR79" s="3">
        <f t="shared" si="73"/>
        <v>0</v>
      </c>
      <c r="AS79" s="4" t="str">
        <f t="shared" si="74"/>
        <v/>
      </c>
      <c r="AT79" s="3">
        <f t="shared" si="75"/>
        <v>0</v>
      </c>
      <c r="AU79" s="3">
        <f t="shared" si="76"/>
        <v>0</v>
      </c>
      <c r="AV79" s="3">
        <f t="shared" si="77"/>
        <v>0</v>
      </c>
      <c r="AW79" s="4" t="str">
        <f t="shared" si="78"/>
        <v/>
      </c>
    </row>
    <row r="80" spans="1:49">
      <c r="A80" s="1" t="s">
        <v>92</v>
      </c>
      <c r="B80" s="3">
        <f>80.43</f>
        <v>80.430000000000007</v>
      </c>
      <c r="C80" s="3">
        <f>53.95</f>
        <v>53.95</v>
      </c>
      <c r="D80" s="3">
        <f t="shared" si="53"/>
        <v>26.480000000000004</v>
      </c>
      <c r="E80" s="4">
        <f t="shared" si="54"/>
        <v>1.4908248378127897</v>
      </c>
      <c r="F80" s="3">
        <f>0</f>
        <v>0</v>
      </c>
      <c r="G80" s="3">
        <f>53.95</f>
        <v>53.95</v>
      </c>
      <c r="H80" s="3">
        <f t="shared" si="55"/>
        <v>-53.95</v>
      </c>
      <c r="I80" s="4">
        <f t="shared" si="56"/>
        <v>0</v>
      </c>
      <c r="J80" s="3">
        <f>0</f>
        <v>0</v>
      </c>
      <c r="K80" s="3">
        <f>53.95</f>
        <v>53.95</v>
      </c>
      <c r="L80" s="3">
        <f t="shared" si="57"/>
        <v>-53.95</v>
      </c>
      <c r="M80" s="4">
        <f t="shared" si="58"/>
        <v>0</v>
      </c>
      <c r="N80" s="3">
        <f>0</f>
        <v>0</v>
      </c>
      <c r="O80" s="3">
        <f>53.95</f>
        <v>53.95</v>
      </c>
      <c r="P80" s="3">
        <f t="shared" si="59"/>
        <v>-53.95</v>
      </c>
      <c r="Q80" s="4">
        <f t="shared" si="60"/>
        <v>0</v>
      </c>
      <c r="R80" s="2"/>
      <c r="S80" s="3">
        <f>53.95</f>
        <v>53.95</v>
      </c>
      <c r="T80" s="3">
        <f t="shared" si="61"/>
        <v>-53.95</v>
      </c>
      <c r="U80" s="4">
        <f t="shared" si="62"/>
        <v>0</v>
      </c>
      <c r="V80" s="2"/>
      <c r="W80" s="3">
        <f>53.95</f>
        <v>53.95</v>
      </c>
      <c r="X80" s="3">
        <f t="shared" si="63"/>
        <v>-53.95</v>
      </c>
      <c r="Y80" s="4">
        <f t="shared" si="64"/>
        <v>0</v>
      </c>
      <c r="Z80" s="2"/>
      <c r="AA80" s="3">
        <f>53.95</f>
        <v>53.95</v>
      </c>
      <c r="AB80" s="3">
        <f t="shared" si="65"/>
        <v>-53.95</v>
      </c>
      <c r="AC80" s="4">
        <f t="shared" si="66"/>
        <v>0</v>
      </c>
      <c r="AD80" s="2"/>
      <c r="AE80" s="3">
        <f>53.95</f>
        <v>53.95</v>
      </c>
      <c r="AF80" s="3">
        <f t="shared" si="67"/>
        <v>-53.95</v>
      </c>
      <c r="AG80" s="4">
        <f t="shared" si="68"/>
        <v>0</v>
      </c>
      <c r="AH80" s="2"/>
      <c r="AI80" s="3">
        <f>53.95</f>
        <v>53.95</v>
      </c>
      <c r="AJ80" s="3">
        <f t="shared" si="69"/>
        <v>-53.95</v>
      </c>
      <c r="AK80" s="4">
        <f t="shared" si="70"/>
        <v>0</v>
      </c>
      <c r="AL80" s="2"/>
      <c r="AM80" s="3">
        <f>53.95</f>
        <v>53.95</v>
      </c>
      <c r="AN80" s="3">
        <f t="shared" si="71"/>
        <v>-53.95</v>
      </c>
      <c r="AO80" s="4">
        <f t="shared" si="72"/>
        <v>0</v>
      </c>
      <c r="AP80" s="2"/>
      <c r="AQ80" s="3">
        <f>53.95</f>
        <v>53.95</v>
      </c>
      <c r="AR80" s="3">
        <f t="shared" si="73"/>
        <v>-53.95</v>
      </c>
      <c r="AS80" s="4">
        <f t="shared" si="74"/>
        <v>0</v>
      </c>
      <c r="AT80" s="3">
        <f t="shared" si="75"/>
        <v>80.430000000000007</v>
      </c>
      <c r="AU80" s="3">
        <f t="shared" si="76"/>
        <v>593.45000000000005</v>
      </c>
      <c r="AV80" s="3">
        <f t="shared" si="77"/>
        <v>-513.02</v>
      </c>
      <c r="AW80" s="4">
        <f t="shared" si="78"/>
        <v>0.13552953071025362</v>
      </c>
    </row>
    <row r="81" spans="1:49">
      <c r="A81" s="1" t="s">
        <v>93</v>
      </c>
      <c r="B81" s="3">
        <f>43.31</f>
        <v>43.31</v>
      </c>
      <c r="C81" s="3">
        <f>29.05</f>
        <v>29.05</v>
      </c>
      <c r="D81" s="3">
        <f t="shared" si="53"/>
        <v>14.260000000000002</v>
      </c>
      <c r="E81" s="4">
        <f t="shared" si="54"/>
        <v>1.4908777969018934</v>
      </c>
      <c r="F81" s="3">
        <f>0</f>
        <v>0</v>
      </c>
      <c r="G81" s="3">
        <f>29.05</f>
        <v>29.05</v>
      </c>
      <c r="H81" s="3">
        <f t="shared" si="55"/>
        <v>-29.05</v>
      </c>
      <c r="I81" s="4">
        <f t="shared" si="56"/>
        <v>0</v>
      </c>
      <c r="J81" s="3">
        <f>0</f>
        <v>0</v>
      </c>
      <c r="K81" s="3">
        <f>29.05</f>
        <v>29.05</v>
      </c>
      <c r="L81" s="3">
        <f t="shared" si="57"/>
        <v>-29.05</v>
      </c>
      <c r="M81" s="4">
        <f t="shared" si="58"/>
        <v>0</v>
      </c>
      <c r="N81" s="3">
        <f>0</f>
        <v>0</v>
      </c>
      <c r="O81" s="3">
        <f>29.05</f>
        <v>29.05</v>
      </c>
      <c r="P81" s="3">
        <f t="shared" si="59"/>
        <v>-29.05</v>
      </c>
      <c r="Q81" s="4">
        <f t="shared" si="60"/>
        <v>0</v>
      </c>
      <c r="R81" s="2"/>
      <c r="S81" s="3">
        <f>29.05</f>
        <v>29.05</v>
      </c>
      <c r="T81" s="3">
        <f t="shared" si="61"/>
        <v>-29.05</v>
      </c>
      <c r="U81" s="4">
        <f t="shared" si="62"/>
        <v>0</v>
      </c>
      <c r="V81" s="2"/>
      <c r="W81" s="3">
        <f>29.05</f>
        <v>29.05</v>
      </c>
      <c r="X81" s="3">
        <f t="shared" si="63"/>
        <v>-29.05</v>
      </c>
      <c r="Y81" s="4">
        <f t="shared" si="64"/>
        <v>0</v>
      </c>
      <c r="Z81" s="2"/>
      <c r="AA81" s="3">
        <f>29.05</f>
        <v>29.05</v>
      </c>
      <c r="AB81" s="3">
        <f t="shared" si="65"/>
        <v>-29.05</v>
      </c>
      <c r="AC81" s="4">
        <f t="shared" si="66"/>
        <v>0</v>
      </c>
      <c r="AD81" s="2"/>
      <c r="AE81" s="3">
        <f>29.05</f>
        <v>29.05</v>
      </c>
      <c r="AF81" s="3">
        <f t="shared" si="67"/>
        <v>-29.05</v>
      </c>
      <c r="AG81" s="4">
        <f t="shared" si="68"/>
        <v>0</v>
      </c>
      <c r="AH81" s="2"/>
      <c r="AI81" s="3">
        <f>29.05</f>
        <v>29.05</v>
      </c>
      <c r="AJ81" s="3">
        <f t="shared" si="69"/>
        <v>-29.05</v>
      </c>
      <c r="AK81" s="4">
        <f t="shared" si="70"/>
        <v>0</v>
      </c>
      <c r="AL81" s="2"/>
      <c r="AM81" s="3">
        <f>29.05</f>
        <v>29.05</v>
      </c>
      <c r="AN81" s="3">
        <f t="shared" si="71"/>
        <v>-29.05</v>
      </c>
      <c r="AO81" s="4">
        <f t="shared" si="72"/>
        <v>0</v>
      </c>
      <c r="AP81" s="2"/>
      <c r="AQ81" s="3">
        <f>29.05</f>
        <v>29.05</v>
      </c>
      <c r="AR81" s="3">
        <f t="shared" si="73"/>
        <v>-29.05</v>
      </c>
      <c r="AS81" s="4">
        <f t="shared" si="74"/>
        <v>0</v>
      </c>
      <c r="AT81" s="3">
        <f t="shared" si="75"/>
        <v>43.31</v>
      </c>
      <c r="AU81" s="3">
        <f t="shared" si="76"/>
        <v>319.55000000000007</v>
      </c>
      <c r="AV81" s="3">
        <f t="shared" si="77"/>
        <v>-276.24000000000007</v>
      </c>
      <c r="AW81" s="4">
        <f t="shared" si="78"/>
        <v>0.13553434517289936</v>
      </c>
    </row>
    <row r="82" spans="1:49">
      <c r="A82" s="1" t="s">
        <v>94</v>
      </c>
      <c r="B82" s="3">
        <f>0</f>
        <v>0</v>
      </c>
      <c r="C82" s="2"/>
      <c r="D82" s="3">
        <f t="shared" si="53"/>
        <v>0</v>
      </c>
      <c r="E82" s="4" t="str">
        <f t="shared" si="54"/>
        <v/>
      </c>
      <c r="F82" s="3">
        <f>0</f>
        <v>0</v>
      </c>
      <c r="G82" s="2"/>
      <c r="H82" s="3">
        <f t="shared" si="55"/>
        <v>0</v>
      </c>
      <c r="I82" s="4" t="str">
        <f t="shared" si="56"/>
        <v/>
      </c>
      <c r="J82" s="3">
        <f>0</f>
        <v>0</v>
      </c>
      <c r="K82" s="2"/>
      <c r="L82" s="3">
        <f t="shared" si="57"/>
        <v>0</v>
      </c>
      <c r="M82" s="4" t="str">
        <f t="shared" si="58"/>
        <v/>
      </c>
      <c r="N82" s="3">
        <f>0</f>
        <v>0</v>
      </c>
      <c r="O82" s="2"/>
      <c r="P82" s="3">
        <f t="shared" si="59"/>
        <v>0</v>
      </c>
      <c r="Q82" s="4" t="str">
        <f t="shared" si="60"/>
        <v/>
      </c>
      <c r="R82" s="2"/>
      <c r="S82" s="2"/>
      <c r="T82" s="3">
        <f t="shared" si="61"/>
        <v>0</v>
      </c>
      <c r="U82" s="4" t="str">
        <f t="shared" si="62"/>
        <v/>
      </c>
      <c r="V82" s="2"/>
      <c r="W82" s="2"/>
      <c r="X82" s="3">
        <f t="shared" si="63"/>
        <v>0</v>
      </c>
      <c r="Y82" s="4" t="str">
        <f t="shared" si="64"/>
        <v/>
      </c>
      <c r="Z82" s="2"/>
      <c r="AA82" s="2"/>
      <c r="AB82" s="3">
        <f t="shared" si="65"/>
        <v>0</v>
      </c>
      <c r="AC82" s="4" t="str">
        <f t="shared" si="66"/>
        <v/>
      </c>
      <c r="AD82" s="2"/>
      <c r="AE82" s="2"/>
      <c r="AF82" s="3">
        <f t="shared" si="67"/>
        <v>0</v>
      </c>
      <c r="AG82" s="4" t="str">
        <f t="shared" si="68"/>
        <v/>
      </c>
      <c r="AH82" s="2"/>
      <c r="AI82" s="2"/>
      <c r="AJ82" s="3">
        <f t="shared" si="69"/>
        <v>0</v>
      </c>
      <c r="AK82" s="4" t="str">
        <f t="shared" si="70"/>
        <v/>
      </c>
      <c r="AL82" s="2"/>
      <c r="AM82" s="2"/>
      <c r="AN82" s="3">
        <f t="shared" si="71"/>
        <v>0</v>
      </c>
      <c r="AO82" s="4" t="str">
        <f t="shared" si="72"/>
        <v/>
      </c>
      <c r="AP82" s="2"/>
      <c r="AQ82" s="2"/>
      <c r="AR82" s="3">
        <f t="shared" si="73"/>
        <v>0</v>
      </c>
      <c r="AS82" s="4" t="str">
        <f t="shared" si="74"/>
        <v/>
      </c>
      <c r="AT82" s="3">
        <f t="shared" si="75"/>
        <v>0</v>
      </c>
      <c r="AU82" s="3">
        <f t="shared" si="76"/>
        <v>0</v>
      </c>
      <c r="AV82" s="3">
        <f t="shared" si="77"/>
        <v>0</v>
      </c>
      <c r="AW82" s="4" t="str">
        <f t="shared" si="78"/>
        <v/>
      </c>
    </row>
    <row r="83" spans="1:49">
      <c r="A83" s="1" t="s">
        <v>95</v>
      </c>
      <c r="B83" s="5">
        <f>(((B79)+(B80))+(B81))+(B82)</f>
        <v>123.74000000000001</v>
      </c>
      <c r="C83" s="5">
        <f>(((C79)+(C80))+(C81))+(C82)</f>
        <v>83</v>
      </c>
      <c r="D83" s="5">
        <f t="shared" si="53"/>
        <v>40.740000000000009</v>
      </c>
      <c r="E83" s="6">
        <f t="shared" si="54"/>
        <v>1.4908433734939761</v>
      </c>
      <c r="F83" s="5">
        <f>(((F79)+(F80))+(F81))+(F82)</f>
        <v>0</v>
      </c>
      <c r="G83" s="5">
        <f>(((G79)+(G80))+(G81))+(G82)</f>
        <v>83</v>
      </c>
      <c r="H83" s="5">
        <f t="shared" si="55"/>
        <v>-83</v>
      </c>
      <c r="I83" s="6">
        <f t="shared" si="56"/>
        <v>0</v>
      </c>
      <c r="J83" s="5">
        <f>(((J79)+(J80))+(J81))+(J82)</f>
        <v>0</v>
      </c>
      <c r="K83" s="5">
        <f>(((K79)+(K80))+(K81))+(K82)</f>
        <v>83</v>
      </c>
      <c r="L83" s="5">
        <f t="shared" si="57"/>
        <v>-83</v>
      </c>
      <c r="M83" s="6">
        <f t="shared" si="58"/>
        <v>0</v>
      </c>
      <c r="N83" s="5">
        <f>(((N79)+(N80))+(N81))+(N82)</f>
        <v>0</v>
      </c>
      <c r="O83" s="5">
        <f>(((O79)+(O80))+(O81))+(O82)</f>
        <v>83</v>
      </c>
      <c r="P83" s="5">
        <f t="shared" si="59"/>
        <v>-83</v>
      </c>
      <c r="Q83" s="6">
        <f t="shared" si="60"/>
        <v>0</v>
      </c>
      <c r="R83" s="5">
        <f>(((R79)+(R80))+(R81))+(R82)</f>
        <v>0</v>
      </c>
      <c r="S83" s="5">
        <f>(((S79)+(S80))+(S81))+(S82)</f>
        <v>83</v>
      </c>
      <c r="T83" s="5">
        <f t="shared" si="61"/>
        <v>-83</v>
      </c>
      <c r="U83" s="6">
        <f t="shared" si="62"/>
        <v>0</v>
      </c>
      <c r="V83" s="5">
        <f>(((V79)+(V80))+(V81))+(V82)</f>
        <v>0</v>
      </c>
      <c r="W83" s="5">
        <f>(((W79)+(W80))+(W81))+(W82)</f>
        <v>83</v>
      </c>
      <c r="X83" s="5">
        <f t="shared" si="63"/>
        <v>-83</v>
      </c>
      <c r="Y83" s="6">
        <f t="shared" si="64"/>
        <v>0</v>
      </c>
      <c r="Z83" s="5">
        <f>(((Z79)+(Z80))+(Z81))+(Z82)</f>
        <v>0</v>
      </c>
      <c r="AA83" s="5">
        <f>(((AA79)+(AA80))+(AA81))+(AA82)</f>
        <v>83</v>
      </c>
      <c r="AB83" s="5">
        <f t="shared" si="65"/>
        <v>-83</v>
      </c>
      <c r="AC83" s="6">
        <f t="shared" si="66"/>
        <v>0</v>
      </c>
      <c r="AD83" s="5">
        <f>(((AD79)+(AD80))+(AD81))+(AD82)</f>
        <v>0</v>
      </c>
      <c r="AE83" s="5">
        <f>(((AE79)+(AE80))+(AE81))+(AE82)</f>
        <v>83</v>
      </c>
      <c r="AF83" s="5">
        <f t="shared" si="67"/>
        <v>-83</v>
      </c>
      <c r="AG83" s="6">
        <f t="shared" si="68"/>
        <v>0</v>
      </c>
      <c r="AH83" s="5">
        <f>(((AH79)+(AH80))+(AH81))+(AH82)</f>
        <v>0</v>
      </c>
      <c r="AI83" s="5">
        <f>(((AI79)+(AI80))+(AI81))+(AI82)</f>
        <v>83</v>
      </c>
      <c r="AJ83" s="5">
        <f t="shared" si="69"/>
        <v>-83</v>
      </c>
      <c r="AK83" s="6">
        <f t="shared" si="70"/>
        <v>0</v>
      </c>
      <c r="AL83" s="5">
        <f>(((AL79)+(AL80))+(AL81))+(AL82)</f>
        <v>0</v>
      </c>
      <c r="AM83" s="5">
        <f>(((AM79)+(AM80))+(AM81))+(AM82)</f>
        <v>83</v>
      </c>
      <c r="AN83" s="5">
        <f t="shared" si="71"/>
        <v>-83</v>
      </c>
      <c r="AO83" s="6">
        <f t="shared" si="72"/>
        <v>0</v>
      </c>
      <c r="AP83" s="5">
        <f>(((AP79)+(AP80))+(AP81))+(AP82)</f>
        <v>0</v>
      </c>
      <c r="AQ83" s="5">
        <f>(((AQ79)+(AQ80))+(AQ81))+(AQ82)</f>
        <v>83</v>
      </c>
      <c r="AR83" s="5">
        <f t="shared" si="73"/>
        <v>-83</v>
      </c>
      <c r="AS83" s="6">
        <f t="shared" si="74"/>
        <v>0</v>
      </c>
      <c r="AT83" s="5">
        <f t="shared" si="75"/>
        <v>123.74000000000001</v>
      </c>
      <c r="AU83" s="5">
        <f t="shared" si="76"/>
        <v>913</v>
      </c>
      <c r="AV83" s="5">
        <f t="shared" si="77"/>
        <v>-789.26</v>
      </c>
      <c r="AW83" s="6">
        <f t="shared" si="78"/>
        <v>0.13553121577217964</v>
      </c>
    </row>
    <row r="84" spans="1:49">
      <c r="A84" s="1" t="s">
        <v>96</v>
      </c>
      <c r="B84" s="2"/>
      <c r="C84" s="2"/>
      <c r="D84" s="3">
        <f t="shared" si="53"/>
        <v>0</v>
      </c>
      <c r="E84" s="4" t="str">
        <f t="shared" si="54"/>
        <v/>
      </c>
      <c r="F84" s="2"/>
      <c r="G84" s="2"/>
      <c r="H84" s="3">
        <f t="shared" si="55"/>
        <v>0</v>
      </c>
      <c r="I84" s="4" t="str">
        <f t="shared" si="56"/>
        <v/>
      </c>
      <c r="J84" s="2"/>
      <c r="K84" s="2"/>
      <c r="L84" s="3">
        <f t="shared" si="57"/>
        <v>0</v>
      </c>
      <c r="M84" s="4" t="str">
        <f t="shared" si="58"/>
        <v/>
      </c>
      <c r="N84" s="2"/>
      <c r="O84" s="2"/>
      <c r="P84" s="3">
        <f t="shared" si="59"/>
        <v>0</v>
      </c>
      <c r="Q84" s="4" t="str">
        <f t="shared" si="60"/>
        <v/>
      </c>
      <c r="R84" s="2"/>
      <c r="S84" s="2"/>
      <c r="T84" s="3">
        <f t="shared" si="61"/>
        <v>0</v>
      </c>
      <c r="U84" s="4" t="str">
        <f t="shared" si="62"/>
        <v/>
      </c>
      <c r="V84" s="2"/>
      <c r="W84" s="2"/>
      <c r="X84" s="3">
        <f t="shared" si="63"/>
        <v>0</v>
      </c>
      <c r="Y84" s="4" t="str">
        <f t="shared" si="64"/>
        <v/>
      </c>
      <c r="Z84" s="2"/>
      <c r="AA84" s="2"/>
      <c r="AB84" s="3">
        <f t="shared" si="65"/>
        <v>0</v>
      </c>
      <c r="AC84" s="4" t="str">
        <f t="shared" si="66"/>
        <v/>
      </c>
      <c r="AD84" s="2"/>
      <c r="AE84" s="2"/>
      <c r="AF84" s="3">
        <f t="shared" si="67"/>
        <v>0</v>
      </c>
      <c r="AG84" s="4" t="str">
        <f t="shared" si="68"/>
        <v/>
      </c>
      <c r="AH84" s="2"/>
      <c r="AI84" s="2"/>
      <c r="AJ84" s="3">
        <f t="shared" si="69"/>
        <v>0</v>
      </c>
      <c r="AK84" s="4" t="str">
        <f t="shared" si="70"/>
        <v/>
      </c>
      <c r="AL84" s="2"/>
      <c r="AM84" s="2"/>
      <c r="AN84" s="3">
        <f t="shared" si="71"/>
        <v>0</v>
      </c>
      <c r="AO84" s="4" t="str">
        <f t="shared" si="72"/>
        <v/>
      </c>
      <c r="AP84" s="2"/>
      <c r="AQ84" s="2"/>
      <c r="AR84" s="3">
        <f t="shared" si="73"/>
        <v>0</v>
      </c>
      <c r="AS84" s="4" t="str">
        <f t="shared" si="74"/>
        <v/>
      </c>
      <c r="AT84" s="3">
        <f t="shared" si="75"/>
        <v>0</v>
      </c>
      <c r="AU84" s="3">
        <f t="shared" si="76"/>
        <v>0</v>
      </c>
      <c r="AV84" s="3">
        <f t="shared" si="77"/>
        <v>0</v>
      </c>
      <c r="AW84" s="4" t="str">
        <f t="shared" si="78"/>
        <v/>
      </c>
    </row>
    <row r="85" spans="1:49">
      <c r="A85" s="1" t="s">
        <v>97</v>
      </c>
      <c r="B85" s="2"/>
      <c r="C85" s="3">
        <f>80.6</f>
        <v>80.599999999999994</v>
      </c>
      <c r="D85" s="3">
        <f t="shared" si="53"/>
        <v>-80.599999999999994</v>
      </c>
      <c r="E85" s="4">
        <f t="shared" si="54"/>
        <v>0</v>
      </c>
      <c r="F85" s="2"/>
      <c r="G85" s="3">
        <f>80.6</f>
        <v>80.599999999999994</v>
      </c>
      <c r="H85" s="3">
        <f t="shared" si="55"/>
        <v>-80.599999999999994</v>
      </c>
      <c r="I85" s="4">
        <f t="shared" si="56"/>
        <v>0</v>
      </c>
      <c r="J85" s="2"/>
      <c r="K85" s="3">
        <f>80.6</f>
        <v>80.599999999999994</v>
      </c>
      <c r="L85" s="3">
        <f t="shared" si="57"/>
        <v>-80.599999999999994</v>
      </c>
      <c r="M85" s="4">
        <f t="shared" si="58"/>
        <v>0</v>
      </c>
      <c r="N85" s="2"/>
      <c r="O85" s="3">
        <f>80.6</f>
        <v>80.599999999999994</v>
      </c>
      <c r="P85" s="3">
        <f t="shared" si="59"/>
        <v>-80.599999999999994</v>
      </c>
      <c r="Q85" s="4">
        <f t="shared" si="60"/>
        <v>0</v>
      </c>
      <c r="R85" s="2"/>
      <c r="S85" s="3">
        <f>80.6</f>
        <v>80.599999999999994</v>
      </c>
      <c r="T85" s="3">
        <f t="shared" si="61"/>
        <v>-80.599999999999994</v>
      </c>
      <c r="U85" s="4">
        <f t="shared" si="62"/>
        <v>0</v>
      </c>
      <c r="V85" s="2"/>
      <c r="W85" s="3">
        <f>80.6</f>
        <v>80.599999999999994</v>
      </c>
      <c r="X85" s="3">
        <f t="shared" si="63"/>
        <v>-80.599999999999994</v>
      </c>
      <c r="Y85" s="4">
        <f t="shared" si="64"/>
        <v>0</v>
      </c>
      <c r="Z85" s="2"/>
      <c r="AA85" s="3">
        <f>80.6</f>
        <v>80.599999999999994</v>
      </c>
      <c r="AB85" s="3">
        <f t="shared" si="65"/>
        <v>-80.599999999999994</v>
      </c>
      <c r="AC85" s="4">
        <f t="shared" si="66"/>
        <v>0</v>
      </c>
      <c r="AD85" s="2"/>
      <c r="AE85" s="3">
        <f>80.6</f>
        <v>80.599999999999994</v>
      </c>
      <c r="AF85" s="3">
        <f t="shared" si="67"/>
        <v>-80.599999999999994</v>
      </c>
      <c r="AG85" s="4">
        <f t="shared" si="68"/>
        <v>0</v>
      </c>
      <c r="AH85" s="2"/>
      <c r="AI85" s="3">
        <f>80.6</f>
        <v>80.599999999999994</v>
      </c>
      <c r="AJ85" s="3">
        <f t="shared" si="69"/>
        <v>-80.599999999999994</v>
      </c>
      <c r="AK85" s="4">
        <f t="shared" si="70"/>
        <v>0</v>
      </c>
      <c r="AL85" s="2"/>
      <c r="AM85" s="3">
        <f>80.6</f>
        <v>80.599999999999994</v>
      </c>
      <c r="AN85" s="3">
        <f t="shared" si="71"/>
        <v>-80.599999999999994</v>
      </c>
      <c r="AO85" s="4">
        <f t="shared" si="72"/>
        <v>0</v>
      </c>
      <c r="AP85" s="3">
        <f>37.59</f>
        <v>37.590000000000003</v>
      </c>
      <c r="AQ85" s="3">
        <f>80.6</f>
        <v>80.599999999999994</v>
      </c>
      <c r="AR85" s="3">
        <f t="shared" si="73"/>
        <v>-43.009999999999991</v>
      </c>
      <c r="AS85" s="4">
        <f t="shared" si="74"/>
        <v>0.46637717121588096</v>
      </c>
      <c r="AT85" s="3">
        <f t="shared" si="75"/>
        <v>37.590000000000003</v>
      </c>
      <c r="AU85" s="3">
        <f t="shared" si="76"/>
        <v>886.60000000000014</v>
      </c>
      <c r="AV85" s="3">
        <f t="shared" si="77"/>
        <v>-849.0100000000001</v>
      </c>
      <c r="AW85" s="4">
        <f t="shared" si="78"/>
        <v>4.2397924655989169E-2</v>
      </c>
    </row>
    <row r="86" spans="1:49">
      <c r="A86" s="1" t="s">
        <v>98</v>
      </c>
      <c r="B86" s="2"/>
      <c r="C86" s="3">
        <f>43.4</f>
        <v>43.4</v>
      </c>
      <c r="D86" s="3">
        <f t="shared" si="53"/>
        <v>-43.4</v>
      </c>
      <c r="E86" s="4">
        <f t="shared" si="54"/>
        <v>0</v>
      </c>
      <c r="F86" s="2"/>
      <c r="G86" s="3">
        <f>43.4</f>
        <v>43.4</v>
      </c>
      <c r="H86" s="3">
        <f t="shared" si="55"/>
        <v>-43.4</v>
      </c>
      <c r="I86" s="4">
        <f t="shared" si="56"/>
        <v>0</v>
      </c>
      <c r="J86" s="2"/>
      <c r="K86" s="3">
        <f>43.4</f>
        <v>43.4</v>
      </c>
      <c r="L86" s="3">
        <f t="shared" si="57"/>
        <v>-43.4</v>
      </c>
      <c r="M86" s="4">
        <f t="shared" si="58"/>
        <v>0</v>
      </c>
      <c r="N86" s="2"/>
      <c r="O86" s="3">
        <f>43.4</f>
        <v>43.4</v>
      </c>
      <c r="P86" s="3">
        <f t="shared" si="59"/>
        <v>-43.4</v>
      </c>
      <c r="Q86" s="4">
        <f t="shared" si="60"/>
        <v>0</v>
      </c>
      <c r="R86" s="2"/>
      <c r="S86" s="3">
        <f>43.4</f>
        <v>43.4</v>
      </c>
      <c r="T86" s="3">
        <f t="shared" si="61"/>
        <v>-43.4</v>
      </c>
      <c r="U86" s="4">
        <f t="shared" si="62"/>
        <v>0</v>
      </c>
      <c r="V86" s="2"/>
      <c r="W86" s="3">
        <f>43.4</f>
        <v>43.4</v>
      </c>
      <c r="X86" s="3">
        <f t="shared" si="63"/>
        <v>-43.4</v>
      </c>
      <c r="Y86" s="4">
        <f t="shared" si="64"/>
        <v>0</v>
      </c>
      <c r="Z86" s="2"/>
      <c r="AA86" s="3">
        <f>43.4</f>
        <v>43.4</v>
      </c>
      <c r="AB86" s="3">
        <f t="shared" si="65"/>
        <v>-43.4</v>
      </c>
      <c r="AC86" s="4">
        <f t="shared" si="66"/>
        <v>0</v>
      </c>
      <c r="AD86" s="2"/>
      <c r="AE86" s="3">
        <f>43.4</f>
        <v>43.4</v>
      </c>
      <c r="AF86" s="3">
        <f t="shared" si="67"/>
        <v>-43.4</v>
      </c>
      <c r="AG86" s="4">
        <f t="shared" si="68"/>
        <v>0</v>
      </c>
      <c r="AH86" s="2"/>
      <c r="AI86" s="3">
        <f>43.4</f>
        <v>43.4</v>
      </c>
      <c r="AJ86" s="3">
        <f t="shared" si="69"/>
        <v>-43.4</v>
      </c>
      <c r="AK86" s="4">
        <f t="shared" si="70"/>
        <v>0</v>
      </c>
      <c r="AL86" s="2"/>
      <c r="AM86" s="3">
        <f>43.4</f>
        <v>43.4</v>
      </c>
      <c r="AN86" s="3">
        <f t="shared" si="71"/>
        <v>-43.4</v>
      </c>
      <c r="AO86" s="4">
        <f t="shared" si="72"/>
        <v>0</v>
      </c>
      <c r="AP86" s="3">
        <f>20.24</f>
        <v>20.239999999999998</v>
      </c>
      <c r="AQ86" s="3">
        <f>43.4</f>
        <v>43.4</v>
      </c>
      <c r="AR86" s="3">
        <f t="shared" si="73"/>
        <v>-23.16</v>
      </c>
      <c r="AS86" s="4">
        <f t="shared" si="74"/>
        <v>0.4663594470046083</v>
      </c>
      <c r="AT86" s="3">
        <f t="shared" si="75"/>
        <v>20.239999999999998</v>
      </c>
      <c r="AU86" s="3">
        <f t="shared" si="76"/>
        <v>477.39999999999986</v>
      </c>
      <c r="AV86" s="3">
        <f t="shared" si="77"/>
        <v>-457.15999999999985</v>
      </c>
      <c r="AW86" s="4">
        <f t="shared" si="78"/>
        <v>4.2396313364055312E-2</v>
      </c>
    </row>
    <row r="87" spans="1:49">
      <c r="A87" s="1" t="s">
        <v>99</v>
      </c>
      <c r="B87" s="2"/>
      <c r="C87" s="2"/>
      <c r="D87" s="3">
        <f t="shared" si="53"/>
        <v>0</v>
      </c>
      <c r="E87" s="4" t="str">
        <f t="shared" si="54"/>
        <v/>
      </c>
      <c r="F87" s="2"/>
      <c r="G87" s="2"/>
      <c r="H87" s="3">
        <f t="shared" si="55"/>
        <v>0</v>
      </c>
      <c r="I87" s="4" t="str">
        <f t="shared" si="56"/>
        <v/>
      </c>
      <c r="J87" s="2"/>
      <c r="K87" s="2"/>
      <c r="L87" s="3">
        <f t="shared" si="57"/>
        <v>0</v>
      </c>
      <c r="M87" s="4" t="str">
        <f t="shared" si="58"/>
        <v/>
      </c>
      <c r="N87" s="2"/>
      <c r="O87" s="2"/>
      <c r="P87" s="3">
        <f t="shared" si="59"/>
        <v>0</v>
      </c>
      <c r="Q87" s="4" t="str">
        <f t="shared" si="60"/>
        <v/>
      </c>
      <c r="R87" s="2"/>
      <c r="S87" s="2"/>
      <c r="T87" s="3">
        <f t="shared" si="61"/>
        <v>0</v>
      </c>
      <c r="U87" s="4" t="str">
        <f t="shared" si="62"/>
        <v/>
      </c>
      <c r="V87" s="2"/>
      <c r="W87" s="2"/>
      <c r="X87" s="3">
        <f t="shared" si="63"/>
        <v>0</v>
      </c>
      <c r="Y87" s="4" t="str">
        <f t="shared" si="64"/>
        <v/>
      </c>
      <c r="Z87" s="2"/>
      <c r="AA87" s="2"/>
      <c r="AB87" s="3">
        <f t="shared" si="65"/>
        <v>0</v>
      </c>
      <c r="AC87" s="4" t="str">
        <f t="shared" si="66"/>
        <v/>
      </c>
      <c r="AD87" s="2"/>
      <c r="AE87" s="2"/>
      <c r="AF87" s="3">
        <f t="shared" si="67"/>
        <v>0</v>
      </c>
      <c r="AG87" s="4" t="str">
        <f t="shared" si="68"/>
        <v/>
      </c>
      <c r="AH87" s="2"/>
      <c r="AI87" s="2"/>
      <c r="AJ87" s="3">
        <f t="shared" si="69"/>
        <v>0</v>
      </c>
      <c r="AK87" s="4" t="str">
        <f t="shared" si="70"/>
        <v/>
      </c>
      <c r="AL87" s="2"/>
      <c r="AM87" s="2"/>
      <c r="AN87" s="3">
        <f t="shared" si="71"/>
        <v>0</v>
      </c>
      <c r="AO87" s="4" t="str">
        <f t="shared" si="72"/>
        <v/>
      </c>
      <c r="AP87" s="3">
        <f>0</f>
        <v>0</v>
      </c>
      <c r="AQ87" s="2"/>
      <c r="AR87" s="3">
        <f t="shared" si="73"/>
        <v>0</v>
      </c>
      <c r="AS87" s="4" t="str">
        <f t="shared" si="74"/>
        <v/>
      </c>
      <c r="AT87" s="3">
        <f t="shared" si="75"/>
        <v>0</v>
      </c>
      <c r="AU87" s="3">
        <f t="shared" si="76"/>
        <v>0</v>
      </c>
      <c r="AV87" s="3">
        <f t="shared" si="77"/>
        <v>0</v>
      </c>
      <c r="AW87" s="4" t="str">
        <f t="shared" si="78"/>
        <v/>
      </c>
    </row>
    <row r="88" spans="1:49">
      <c r="A88" s="1" t="s">
        <v>100</v>
      </c>
      <c r="B88" s="5">
        <f>(((B84)+(B85))+(B86))+(B87)</f>
        <v>0</v>
      </c>
      <c r="C88" s="5">
        <f>(((C84)+(C85))+(C86))+(C87)</f>
        <v>124</v>
      </c>
      <c r="D88" s="5">
        <f t="shared" si="53"/>
        <v>-124</v>
      </c>
      <c r="E88" s="6">
        <f t="shared" si="54"/>
        <v>0</v>
      </c>
      <c r="F88" s="5">
        <f>(((F84)+(F85))+(F86))+(F87)</f>
        <v>0</v>
      </c>
      <c r="G88" s="5">
        <f>(((G84)+(G85))+(G86))+(G87)</f>
        <v>124</v>
      </c>
      <c r="H88" s="5">
        <f t="shared" si="55"/>
        <v>-124</v>
      </c>
      <c r="I88" s="6">
        <f t="shared" si="56"/>
        <v>0</v>
      </c>
      <c r="J88" s="5">
        <f>(((J84)+(J85))+(J86))+(J87)</f>
        <v>0</v>
      </c>
      <c r="K88" s="5">
        <f>(((K84)+(K85))+(K86))+(K87)</f>
        <v>124</v>
      </c>
      <c r="L88" s="5">
        <f t="shared" si="57"/>
        <v>-124</v>
      </c>
      <c r="M88" s="6">
        <f t="shared" si="58"/>
        <v>0</v>
      </c>
      <c r="N88" s="5">
        <f>(((N84)+(N85))+(N86))+(N87)</f>
        <v>0</v>
      </c>
      <c r="O88" s="5">
        <f>(((O84)+(O85))+(O86))+(O87)</f>
        <v>124</v>
      </c>
      <c r="P88" s="5">
        <f t="shared" si="59"/>
        <v>-124</v>
      </c>
      <c r="Q88" s="6">
        <f t="shared" si="60"/>
        <v>0</v>
      </c>
      <c r="R88" s="5">
        <f>(((R84)+(R85))+(R86))+(R87)</f>
        <v>0</v>
      </c>
      <c r="S88" s="5">
        <f>(((S84)+(S85))+(S86))+(S87)</f>
        <v>124</v>
      </c>
      <c r="T88" s="5">
        <f t="shared" si="61"/>
        <v>-124</v>
      </c>
      <c r="U88" s="6">
        <f t="shared" si="62"/>
        <v>0</v>
      </c>
      <c r="V88" s="5">
        <f>(((V84)+(V85))+(V86))+(V87)</f>
        <v>0</v>
      </c>
      <c r="W88" s="5">
        <f>(((W84)+(W85))+(W86))+(W87)</f>
        <v>124</v>
      </c>
      <c r="X88" s="5">
        <f t="shared" si="63"/>
        <v>-124</v>
      </c>
      <c r="Y88" s="6">
        <f t="shared" si="64"/>
        <v>0</v>
      </c>
      <c r="Z88" s="5">
        <f>(((Z84)+(Z85))+(Z86))+(Z87)</f>
        <v>0</v>
      </c>
      <c r="AA88" s="5">
        <f>(((AA84)+(AA85))+(AA86))+(AA87)</f>
        <v>124</v>
      </c>
      <c r="AB88" s="5">
        <f t="shared" si="65"/>
        <v>-124</v>
      </c>
      <c r="AC88" s="6">
        <f t="shared" si="66"/>
        <v>0</v>
      </c>
      <c r="AD88" s="5">
        <f>(((AD84)+(AD85))+(AD86))+(AD87)</f>
        <v>0</v>
      </c>
      <c r="AE88" s="5">
        <f>(((AE84)+(AE85))+(AE86))+(AE87)</f>
        <v>124</v>
      </c>
      <c r="AF88" s="5">
        <f t="shared" si="67"/>
        <v>-124</v>
      </c>
      <c r="AG88" s="6">
        <f t="shared" si="68"/>
        <v>0</v>
      </c>
      <c r="AH88" s="5">
        <f>(((AH84)+(AH85))+(AH86))+(AH87)</f>
        <v>0</v>
      </c>
      <c r="AI88" s="5">
        <f>(((AI84)+(AI85))+(AI86))+(AI87)</f>
        <v>124</v>
      </c>
      <c r="AJ88" s="5">
        <f t="shared" si="69"/>
        <v>-124</v>
      </c>
      <c r="AK88" s="6">
        <f t="shared" si="70"/>
        <v>0</v>
      </c>
      <c r="AL88" s="5">
        <f>(((AL84)+(AL85))+(AL86))+(AL87)</f>
        <v>0</v>
      </c>
      <c r="AM88" s="5">
        <f>(((AM84)+(AM85))+(AM86))+(AM87)</f>
        <v>124</v>
      </c>
      <c r="AN88" s="5">
        <f t="shared" si="71"/>
        <v>-124</v>
      </c>
      <c r="AO88" s="6">
        <f t="shared" si="72"/>
        <v>0</v>
      </c>
      <c r="AP88" s="5">
        <f>(((AP84)+(AP85))+(AP86))+(AP87)</f>
        <v>57.83</v>
      </c>
      <c r="AQ88" s="5">
        <f>(((AQ84)+(AQ85))+(AQ86))+(AQ87)</f>
        <v>124</v>
      </c>
      <c r="AR88" s="5">
        <f t="shared" si="73"/>
        <v>-66.17</v>
      </c>
      <c r="AS88" s="6">
        <f t="shared" si="74"/>
        <v>0.46637096774193548</v>
      </c>
      <c r="AT88" s="5">
        <f t="shared" si="75"/>
        <v>57.83</v>
      </c>
      <c r="AU88" s="5">
        <f t="shared" si="76"/>
        <v>1364</v>
      </c>
      <c r="AV88" s="5">
        <f t="shared" si="77"/>
        <v>-1306.17</v>
      </c>
      <c r="AW88" s="6">
        <f t="shared" si="78"/>
        <v>4.2397360703812316E-2</v>
      </c>
    </row>
    <row r="89" spans="1:49">
      <c r="A89" s="1" t="s">
        <v>101</v>
      </c>
      <c r="B89" s="2"/>
      <c r="C89" s="2"/>
      <c r="D89" s="3">
        <f t="shared" si="53"/>
        <v>0</v>
      </c>
      <c r="E89" s="4" t="str">
        <f t="shared" si="54"/>
        <v/>
      </c>
      <c r="F89" s="2"/>
      <c r="G89" s="2"/>
      <c r="H89" s="3">
        <f t="shared" si="55"/>
        <v>0</v>
      </c>
      <c r="I89" s="4" t="str">
        <f t="shared" si="56"/>
        <v/>
      </c>
      <c r="J89" s="2"/>
      <c r="K89" s="2"/>
      <c r="L89" s="3">
        <f t="shared" si="57"/>
        <v>0</v>
      </c>
      <c r="M89" s="4" t="str">
        <f t="shared" si="58"/>
        <v/>
      </c>
      <c r="N89" s="2"/>
      <c r="O89" s="2"/>
      <c r="P89" s="3">
        <f t="shared" si="59"/>
        <v>0</v>
      </c>
      <c r="Q89" s="4" t="str">
        <f t="shared" si="60"/>
        <v/>
      </c>
      <c r="R89" s="2"/>
      <c r="S89" s="2"/>
      <c r="T89" s="3">
        <f t="shared" si="61"/>
        <v>0</v>
      </c>
      <c r="U89" s="4" t="str">
        <f t="shared" si="62"/>
        <v/>
      </c>
      <c r="V89" s="2"/>
      <c r="W89" s="2"/>
      <c r="X89" s="3">
        <f t="shared" si="63"/>
        <v>0</v>
      </c>
      <c r="Y89" s="4" t="str">
        <f t="shared" si="64"/>
        <v/>
      </c>
      <c r="Z89" s="2"/>
      <c r="AA89" s="2"/>
      <c r="AB89" s="3">
        <f t="shared" si="65"/>
        <v>0</v>
      </c>
      <c r="AC89" s="4" t="str">
        <f t="shared" si="66"/>
        <v/>
      </c>
      <c r="AD89" s="2"/>
      <c r="AE89" s="2"/>
      <c r="AF89" s="3">
        <f t="shared" si="67"/>
        <v>0</v>
      </c>
      <c r="AG89" s="4" t="str">
        <f t="shared" si="68"/>
        <v/>
      </c>
      <c r="AH89" s="2"/>
      <c r="AI89" s="2"/>
      <c r="AJ89" s="3">
        <f t="shared" si="69"/>
        <v>0</v>
      </c>
      <c r="AK89" s="4" t="str">
        <f t="shared" si="70"/>
        <v/>
      </c>
      <c r="AL89" s="2"/>
      <c r="AM89" s="2"/>
      <c r="AN89" s="3">
        <f t="shared" si="71"/>
        <v>0</v>
      </c>
      <c r="AO89" s="4" t="str">
        <f t="shared" si="72"/>
        <v/>
      </c>
      <c r="AP89" s="2"/>
      <c r="AQ89" s="2"/>
      <c r="AR89" s="3">
        <f t="shared" si="73"/>
        <v>0</v>
      </c>
      <c r="AS89" s="4" t="str">
        <f t="shared" si="74"/>
        <v/>
      </c>
      <c r="AT89" s="3">
        <f t="shared" si="75"/>
        <v>0</v>
      </c>
      <c r="AU89" s="3">
        <f t="shared" si="76"/>
        <v>0</v>
      </c>
      <c r="AV89" s="3">
        <f t="shared" si="77"/>
        <v>0</v>
      </c>
      <c r="AW89" s="4" t="str">
        <f t="shared" si="78"/>
        <v/>
      </c>
    </row>
    <row r="90" spans="1:49">
      <c r="A90" s="1" t="s">
        <v>102</v>
      </c>
      <c r="B90" s="3">
        <f>938.5</f>
        <v>938.5</v>
      </c>
      <c r="C90" s="3">
        <f>920.83</f>
        <v>920.83</v>
      </c>
      <c r="D90" s="3">
        <f t="shared" si="53"/>
        <v>17.669999999999959</v>
      </c>
      <c r="E90" s="4">
        <f t="shared" si="54"/>
        <v>1.0191892097346957</v>
      </c>
      <c r="F90" s="3">
        <f>908.22</f>
        <v>908.22</v>
      </c>
      <c r="G90" s="3">
        <f>920.83</f>
        <v>920.83</v>
      </c>
      <c r="H90" s="3">
        <f t="shared" si="55"/>
        <v>-12.610000000000014</v>
      </c>
      <c r="I90" s="4">
        <f t="shared" si="56"/>
        <v>0.98630583278129513</v>
      </c>
      <c r="J90" s="3">
        <f>938.5</f>
        <v>938.5</v>
      </c>
      <c r="K90" s="3">
        <f>920.83</f>
        <v>920.83</v>
      </c>
      <c r="L90" s="3">
        <f t="shared" si="57"/>
        <v>17.669999999999959</v>
      </c>
      <c r="M90" s="4">
        <f t="shared" si="58"/>
        <v>1.0191892097346957</v>
      </c>
      <c r="N90" s="3">
        <f>938.5</f>
        <v>938.5</v>
      </c>
      <c r="O90" s="3">
        <f>920.83</f>
        <v>920.83</v>
      </c>
      <c r="P90" s="3">
        <f t="shared" si="59"/>
        <v>17.669999999999959</v>
      </c>
      <c r="Q90" s="4">
        <f t="shared" si="60"/>
        <v>1.0191892097346957</v>
      </c>
      <c r="R90" s="3">
        <f>847.67</f>
        <v>847.67</v>
      </c>
      <c r="S90" s="3">
        <f>920.83</f>
        <v>920.83</v>
      </c>
      <c r="T90" s="3">
        <f t="shared" si="61"/>
        <v>-73.160000000000082</v>
      </c>
      <c r="U90" s="4">
        <f t="shared" si="62"/>
        <v>0.92054993864231172</v>
      </c>
      <c r="V90" s="3">
        <f>938.5</f>
        <v>938.5</v>
      </c>
      <c r="W90" s="3">
        <f>920.83</f>
        <v>920.83</v>
      </c>
      <c r="X90" s="3">
        <f t="shared" si="63"/>
        <v>17.669999999999959</v>
      </c>
      <c r="Y90" s="4">
        <f t="shared" si="64"/>
        <v>1.0191892097346957</v>
      </c>
      <c r="Z90" s="3">
        <f>908.22</f>
        <v>908.22</v>
      </c>
      <c r="AA90" s="3">
        <f>920.83</f>
        <v>920.83</v>
      </c>
      <c r="AB90" s="3">
        <f t="shared" si="65"/>
        <v>-12.610000000000014</v>
      </c>
      <c r="AC90" s="4">
        <f t="shared" si="66"/>
        <v>0.98630583278129513</v>
      </c>
      <c r="AD90" s="3">
        <f>908.22</f>
        <v>908.22</v>
      </c>
      <c r="AE90" s="3">
        <f>920.83</f>
        <v>920.83</v>
      </c>
      <c r="AF90" s="3">
        <f t="shared" si="67"/>
        <v>-12.610000000000014</v>
      </c>
      <c r="AG90" s="4">
        <f t="shared" si="68"/>
        <v>0.98630583278129513</v>
      </c>
      <c r="AH90" s="3">
        <f>908.22</f>
        <v>908.22</v>
      </c>
      <c r="AI90" s="3">
        <f>920.83</f>
        <v>920.83</v>
      </c>
      <c r="AJ90" s="3">
        <f t="shared" si="69"/>
        <v>-12.610000000000014</v>
      </c>
      <c r="AK90" s="4">
        <f t="shared" si="70"/>
        <v>0.98630583278129513</v>
      </c>
      <c r="AL90" s="3">
        <f>0</f>
        <v>0</v>
      </c>
      <c r="AM90" s="3">
        <f>920.83</f>
        <v>920.83</v>
      </c>
      <c r="AN90" s="3">
        <f t="shared" si="71"/>
        <v>-920.83</v>
      </c>
      <c r="AO90" s="4">
        <f t="shared" si="72"/>
        <v>0</v>
      </c>
      <c r="AP90" s="3">
        <f>0</f>
        <v>0</v>
      </c>
      <c r="AQ90" s="3">
        <f>920.83</f>
        <v>920.83</v>
      </c>
      <c r="AR90" s="3">
        <f t="shared" si="73"/>
        <v>-920.83</v>
      </c>
      <c r="AS90" s="4">
        <f t="shared" si="74"/>
        <v>0</v>
      </c>
      <c r="AT90" s="3">
        <f t="shared" si="75"/>
        <v>8234.5500000000011</v>
      </c>
      <c r="AU90" s="3">
        <f t="shared" si="76"/>
        <v>10129.130000000001</v>
      </c>
      <c r="AV90" s="3">
        <f t="shared" si="77"/>
        <v>-1894.58</v>
      </c>
      <c r="AW90" s="4">
        <f t="shared" si="78"/>
        <v>0.81295728260966149</v>
      </c>
    </row>
    <row r="91" spans="1:49">
      <c r="A91" s="1" t="s">
        <v>103</v>
      </c>
      <c r="B91" s="3">
        <f>505.34</f>
        <v>505.34</v>
      </c>
      <c r="C91" s="3">
        <f>495.83</f>
        <v>495.83</v>
      </c>
      <c r="D91" s="3">
        <f t="shared" si="53"/>
        <v>9.5099999999999909</v>
      </c>
      <c r="E91" s="4">
        <f t="shared" si="54"/>
        <v>1.0191799608736865</v>
      </c>
      <c r="F91" s="3">
        <f>489.04</f>
        <v>489.04</v>
      </c>
      <c r="G91" s="3">
        <f>495.83</f>
        <v>495.83</v>
      </c>
      <c r="H91" s="3">
        <f t="shared" si="55"/>
        <v>-6.7899999999999636</v>
      </c>
      <c r="I91" s="4">
        <f t="shared" si="56"/>
        <v>0.98630579029102727</v>
      </c>
      <c r="J91" s="3">
        <f>505.34</f>
        <v>505.34</v>
      </c>
      <c r="K91" s="3">
        <f>495.83</f>
        <v>495.83</v>
      </c>
      <c r="L91" s="3">
        <f t="shared" si="57"/>
        <v>9.5099999999999909</v>
      </c>
      <c r="M91" s="4">
        <f t="shared" si="58"/>
        <v>1.0191799608736865</v>
      </c>
      <c r="N91" s="3">
        <f>505.34</f>
        <v>505.34</v>
      </c>
      <c r="O91" s="3">
        <f>495.83</f>
        <v>495.83</v>
      </c>
      <c r="P91" s="3">
        <f t="shared" si="59"/>
        <v>9.5099999999999909</v>
      </c>
      <c r="Q91" s="4">
        <f t="shared" si="60"/>
        <v>1.0191799608736865</v>
      </c>
      <c r="R91" s="3">
        <f>456.44</f>
        <v>456.44</v>
      </c>
      <c r="S91" s="3">
        <f>495.83</f>
        <v>495.83</v>
      </c>
      <c r="T91" s="3">
        <f t="shared" si="61"/>
        <v>-39.389999999999986</v>
      </c>
      <c r="U91" s="4">
        <f t="shared" si="62"/>
        <v>0.92055744912570847</v>
      </c>
      <c r="V91" s="3">
        <f>505.34</f>
        <v>505.34</v>
      </c>
      <c r="W91" s="3">
        <f>495.83</f>
        <v>495.83</v>
      </c>
      <c r="X91" s="3">
        <f t="shared" si="63"/>
        <v>9.5099999999999909</v>
      </c>
      <c r="Y91" s="4">
        <f t="shared" si="64"/>
        <v>1.0191799608736865</v>
      </c>
      <c r="Z91" s="3">
        <f>489.04</f>
        <v>489.04</v>
      </c>
      <c r="AA91" s="3">
        <f>495.83</f>
        <v>495.83</v>
      </c>
      <c r="AB91" s="3">
        <f t="shared" si="65"/>
        <v>-6.7899999999999636</v>
      </c>
      <c r="AC91" s="4">
        <f t="shared" si="66"/>
        <v>0.98630579029102727</v>
      </c>
      <c r="AD91" s="3">
        <f>489.04</f>
        <v>489.04</v>
      </c>
      <c r="AE91" s="3">
        <f>495.83</f>
        <v>495.83</v>
      </c>
      <c r="AF91" s="3">
        <f t="shared" si="67"/>
        <v>-6.7899999999999636</v>
      </c>
      <c r="AG91" s="4">
        <f t="shared" si="68"/>
        <v>0.98630579029102727</v>
      </c>
      <c r="AH91" s="3">
        <f>489.04</f>
        <v>489.04</v>
      </c>
      <c r="AI91" s="3">
        <f>495.83</f>
        <v>495.83</v>
      </c>
      <c r="AJ91" s="3">
        <f t="shared" si="69"/>
        <v>-6.7899999999999636</v>
      </c>
      <c r="AK91" s="4">
        <f t="shared" si="70"/>
        <v>0.98630579029102727</v>
      </c>
      <c r="AL91" s="3">
        <f>0</f>
        <v>0</v>
      </c>
      <c r="AM91" s="3">
        <f>495.83</f>
        <v>495.83</v>
      </c>
      <c r="AN91" s="3">
        <f t="shared" si="71"/>
        <v>-495.83</v>
      </c>
      <c r="AO91" s="4">
        <f t="shared" si="72"/>
        <v>0</v>
      </c>
      <c r="AP91" s="3">
        <f>0</f>
        <v>0</v>
      </c>
      <c r="AQ91" s="3">
        <f>495.83</f>
        <v>495.83</v>
      </c>
      <c r="AR91" s="3">
        <f t="shared" si="73"/>
        <v>-495.83</v>
      </c>
      <c r="AS91" s="4">
        <f t="shared" si="74"/>
        <v>0</v>
      </c>
      <c r="AT91" s="3">
        <f t="shared" si="75"/>
        <v>4433.96</v>
      </c>
      <c r="AU91" s="3">
        <f t="shared" si="76"/>
        <v>5454.13</v>
      </c>
      <c r="AV91" s="3">
        <f t="shared" si="77"/>
        <v>-1020.1700000000001</v>
      </c>
      <c r="AW91" s="4">
        <f t="shared" si="78"/>
        <v>0.81295458670768761</v>
      </c>
    </row>
    <row r="92" spans="1:49">
      <c r="A92" s="1" t="s">
        <v>104</v>
      </c>
      <c r="B92" s="3">
        <f>0</f>
        <v>0</v>
      </c>
      <c r="C92" s="2"/>
      <c r="D92" s="3">
        <f t="shared" si="53"/>
        <v>0</v>
      </c>
      <c r="E92" s="4" t="str">
        <f t="shared" si="54"/>
        <v/>
      </c>
      <c r="F92" s="3">
        <f>0</f>
        <v>0</v>
      </c>
      <c r="G92" s="2"/>
      <c r="H92" s="3">
        <f t="shared" si="55"/>
        <v>0</v>
      </c>
      <c r="I92" s="4" t="str">
        <f t="shared" si="56"/>
        <v/>
      </c>
      <c r="J92" s="3">
        <f>0</f>
        <v>0</v>
      </c>
      <c r="K92" s="2"/>
      <c r="L92" s="3">
        <f t="shared" si="57"/>
        <v>0</v>
      </c>
      <c r="M92" s="4" t="str">
        <f t="shared" si="58"/>
        <v/>
      </c>
      <c r="N92" s="3">
        <f>0</f>
        <v>0</v>
      </c>
      <c r="O92" s="2"/>
      <c r="P92" s="3">
        <f t="shared" si="59"/>
        <v>0</v>
      </c>
      <c r="Q92" s="4" t="str">
        <f t="shared" si="60"/>
        <v/>
      </c>
      <c r="R92" s="3">
        <f>0</f>
        <v>0</v>
      </c>
      <c r="S92" s="2"/>
      <c r="T92" s="3">
        <f t="shared" si="61"/>
        <v>0</v>
      </c>
      <c r="U92" s="4" t="str">
        <f t="shared" si="62"/>
        <v/>
      </c>
      <c r="V92" s="3">
        <f>0</f>
        <v>0</v>
      </c>
      <c r="W92" s="2"/>
      <c r="X92" s="3">
        <f t="shared" si="63"/>
        <v>0</v>
      </c>
      <c r="Y92" s="4" t="str">
        <f t="shared" si="64"/>
        <v/>
      </c>
      <c r="Z92" s="3">
        <f>0</f>
        <v>0</v>
      </c>
      <c r="AA92" s="2"/>
      <c r="AB92" s="3">
        <f t="shared" si="65"/>
        <v>0</v>
      </c>
      <c r="AC92" s="4" t="str">
        <f t="shared" si="66"/>
        <v/>
      </c>
      <c r="AD92" s="3">
        <f>0</f>
        <v>0</v>
      </c>
      <c r="AE92" s="2"/>
      <c r="AF92" s="3">
        <f t="shared" si="67"/>
        <v>0</v>
      </c>
      <c r="AG92" s="4" t="str">
        <f t="shared" si="68"/>
        <v/>
      </c>
      <c r="AH92" s="3">
        <f>0</f>
        <v>0</v>
      </c>
      <c r="AI92" s="2"/>
      <c r="AJ92" s="3">
        <f t="shared" si="69"/>
        <v>0</v>
      </c>
      <c r="AK92" s="4" t="str">
        <f t="shared" si="70"/>
        <v/>
      </c>
      <c r="AL92" s="3">
        <f>0</f>
        <v>0</v>
      </c>
      <c r="AM92" s="2"/>
      <c r="AN92" s="3">
        <f t="shared" si="71"/>
        <v>0</v>
      </c>
      <c r="AO92" s="4" t="str">
        <f t="shared" si="72"/>
        <v/>
      </c>
      <c r="AP92" s="3">
        <f>0</f>
        <v>0</v>
      </c>
      <c r="AQ92" s="2"/>
      <c r="AR92" s="3">
        <f t="shared" si="73"/>
        <v>0</v>
      </c>
      <c r="AS92" s="4" t="str">
        <f t="shared" si="74"/>
        <v/>
      </c>
      <c r="AT92" s="3">
        <f t="shared" si="75"/>
        <v>0</v>
      </c>
      <c r="AU92" s="3">
        <f t="shared" si="76"/>
        <v>0</v>
      </c>
      <c r="AV92" s="3">
        <f t="shared" si="77"/>
        <v>0</v>
      </c>
      <c r="AW92" s="4" t="str">
        <f t="shared" si="78"/>
        <v/>
      </c>
    </row>
    <row r="93" spans="1:49">
      <c r="A93" s="1" t="s">
        <v>105</v>
      </c>
      <c r="B93" s="5">
        <f>(((B89)+(B90))+(B91))+(B92)</f>
        <v>1443.84</v>
      </c>
      <c r="C93" s="5">
        <f>(((C89)+(C90))+(C91))+(C92)</f>
        <v>1416.66</v>
      </c>
      <c r="D93" s="5">
        <f t="shared" si="53"/>
        <v>27.179999999999836</v>
      </c>
      <c r="E93" s="6">
        <f t="shared" si="54"/>
        <v>1.0191859726398711</v>
      </c>
      <c r="F93" s="5">
        <f>(((F89)+(F90))+(F91))+(F92)</f>
        <v>1397.26</v>
      </c>
      <c r="G93" s="5">
        <f>(((G89)+(G90))+(G91))+(G92)</f>
        <v>1416.66</v>
      </c>
      <c r="H93" s="5">
        <f t="shared" si="55"/>
        <v>-19.400000000000091</v>
      </c>
      <c r="I93" s="6">
        <f t="shared" si="56"/>
        <v>0.98630581790973126</v>
      </c>
      <c r="J93" s="5">
        <f>(((J89)+(J90))+(J91))+(J92)</f>
        <v>1443.84</v>
      </c>
      <c r="K93" s="5">
        <f>(((K89)+(K90))+(K91))+(K92)</f>
        <v>1416.66</v>
      </c>
      <c r="L93" s="5">
        <f t="shared" si="57"/>
        <v>27.179999999999836</v>
      </c>
      <c r="M93" s="6">
        <f t="shared" si="58"/>
        <v>1.0191859726398711</v>
      </c>
      <c r="N93" s="5">
        <f>(((N89)+(N90))+(N91))+(N92)</f>
        <v>1443.84</v>
      </c>
      <c r="O93" s="5">
        <f>(((O89)+(O90))+(O91))+(O92)</f>
        <v>1416.66</v>
      </c>
      <c r="P93" s="5">
        <f t="shared" si="59"/>
        <v>27.179999999999836</v>
      </c>
      <c r="Q93" s="6">
        <f t="shared" si="60"/>
        <v>1.0191859726398711</v>
      </c>
      <c r="R93" s="5">
        <f>(((R89)+(R90))+(R91))+(R92)</f>
        <v>1304.1099999999999</v>
      </c>
      <c r="S93" s="5">
        <f>(((S89)+(S90))+(S91))+(S92)</f>
        <v>1416.66</v>
      </c>
      <c r="T93" s="5">
        <f t="shared" si="61"/>
        <v>-112.55000000000018</v>
      </c>
      <c r="U93" s="6">
        <f t="shared" si="62"/>
        <v>0.92055256730619894</v>
      </c>
      <c r="V93" s="5">
        <f>(((V89)+(V90))+(V91))+(V92)</f>
        <v>1443.84</v>
      </c>
      <c r="W93" s="5">
        <f>(((W89)+(W90))+(W91))+(W92)</f>
        <v>1416.66</v>
      </c>
      <c r="X93" s="5">
        <f t="shared" si="63"/>
        <v>27.179999999999836</v>
      </c>
      <c r="Y93" s="6">
        <f t="shared" si="64"/>
        <v>1.0191859726398711</v>
      </c>
      <c r="Z93" s="5">
        <f>(((Z89)+(Z90))+(Z91))+(Z92)</f>
        <v>1397.26</v>
      </c>
      <c r="AA93" s="5">
        <f>(((AA89)+(AA90))+(AA91))+(AA92)</f>
        <v>1416.66</v>
      </c>
      <c r="AB93" s="5">
        <f t="shared" si="65"/>
        <v>-19.400000000000091</v>
      </c>
      <c r="AC93" s="6">
        <f t="shared" si="66"/>
        <v>0.98630581790973126</v>
      </c>
      <c r="AD93" s="5">
        <f>(((AD89)+(AD90))+(AD91))+(AD92)</f>
        <v>1397.26</v>
      </c>
      <c r="AE93" s="5">
        <f>(((AE89)+(AE90))+(AE91))+(AE92)</f>
        <v>1416.66</v>
      </c>
      <c r="AF93" s="5">
        <f t="shared" si="67"/>
        <v>-19.400000000000091</v>
      </c>
      <c r="AG93" s="6">
        <f t="shared" si="68"/>
        <v>0.98630581790973126</v>
      </c>
      <c r="AH93" s="5">
        <f>(((AH89)+(AH90))+(AH91))+(AH92)</f>
        <v>1397.26</v>
      </c>
      <c r="AI93" s="5">
        <f>(((AI89)+(AI90))+(AI91))+(AI92)</f>
        <v>1416.66</v>
      </c>
      <c r="AJ93" s="5">
        <f t="shared" si="69"/>
        <v>-19.400000000000091</v>
      </c>
      <c r="AK93" s="6">
        <f t="shared" si="70"/>
        <v>0.98630581790973126</v>
      </c>
      <c r="AL93" s="5">
        <f>(((AL89)+(AL90))+(AL91))+(AL92)</f>
        <v>0</v>
      </c>
      <c r="AM93" s="5">
        <f>(((AM89)+(AM90))+(AM91))+(AM92)</f>
        <v>1416.66</v>
      </c>
      <c r="AN93" s="5">
        <f t="shared" si="71"/>
        <v>-1416.66</v>
      </c>
      <c r="AO93" s="6">
        <f t="shared" si="72"/>
        <v>0</v>
      </c>
      <c r="AP93" s="5">
        <f>(((AP89)+(AP90))+(AP91))+(AP92)</f>
        <v>0</v>
      </c>
      <c r="AQ93" s="5">
        <f>(((AQ89)+(AQ90))+(AQ91))+(AQ92)</f>
        <v>1416.66</v>
      </c>
      <c r="AR93" s="5">
        <f t="shared" si="73"/>
        <v>-1416.66</v>
      </c>
      <c r="AS93" s="6">
        <f t="shared" si="74"/>
        <v>0</v>
      </c>
      <c r="AT93" s="5">
        <f t="shared" si="75"/>
        <v>12668.51</v>
      </c>
      <c r="AU93" s="5">
        <f t="shared" si="76"/>
        <v>15583.26</v>
      </c>
      <c r="AV93" s="5">
        <f t="shared" si="77"/>
        <v>-2914.75</v>
      </c>
      <c r="AW93" s="6">
        <f t="shared" si="78"/>
        <v>0.81295633904587361</v>
      </c>
    </row>
    <row r="94" spans="1:49">
      <c r="A94" s="1" t="s">
        <v>106</v>
      </c>
      <c r="B94" s="2"/>
      <c r="C94" s="2"/>
      <c r="D94" s="3">
        <f t="shared" si="53"/>
        <v>0</v>
      </c>
      <c r="E94" s="4" t="str">
        <f t="shared" si="54"/>
        <v/>
      </c>
      <c r="F94" s="2"/>
      <c r="G94" s="2"/>
      <c r="H94" s="3">
        <f t="shared" si="55"/>
        <v>0</v>
      </c>
      <c r="I94" s="4" t="str">
        <f t="shared" si="56"/>
        <v/>
      </c>
      <c r="J94" s="2"/>
      <c r="K94" s="2"/>
      <c r="L94" s="3">
        <f t="shared" si="57"/>
        <v>0</v>
      </c>
      <c r="M94" s="4" t="str">
        <f t="shared" si="58"/>
        <v/>
      </c>
      <c r="N94" s="2"/>
      <c r="O94" s="2"/>
      <c r="P94" s="3">
        <f t="shared" si="59"/>
        <v>0</v>
      </c>
      <c r="Q94" s="4" t="str">
        <f t="shared" si="60"/>
        <v/>
      </c>
      <c r="R94" s="2"/>
      <c r="S94" s="2"/>
      <c r="T94" s="3">
        <f t="shared" si="61"/>
        <v>0</v>
      </c>
      <c r="U94" s="4" t="str">
        <f t="shared" si="62"/>
        <v/>
      </c>
      <c r="V94" s="2"/>
      <c r="W94" s="2"/>
      <c r="X94" s="3">
        <f t="shared" si="63"/>
        <v>0</v>
      </c>
      <c r="Y94" s="4" t="str">
        <f t="shared" si="64"/>
        <v/>
      </c>
      <c r="Z94" s="2"/>
      <c r="AA94" s="2"/>
      <c r="AB94" s="3">
        <f t="shared" si="65"/>
        <v>0</v>
      </c>
      <c r="AC94" s="4" t="str">
        <f t="shared" si="66"/>
        <v/>
      </c>
      <c r="AD94" s="2"/>
      <c r="AE94" s="2"/>
      <c r="AF94" s="3">
        <f t="shared" si="67"/>
        <v>0</v>
      </c>
      <c r="AG94" s="4" t="str">
        <f t="shared" si="68"/>
        <v/>
      </c>
      <c r="AH94" s="2"/>
      <c r="AI94" s="2"/>
      <c r="AJ94" s="3">
        <f t="shared" si="69"/>
        <v>0</v>
      </c>
      <c r="AK94" s="4" t="str">
        <f t="shared" si="70"/>
        <v/>
      </c>
      <c r="AL94" s="2"/>
      <c r="AM94" s="2"/>
      <c r="AN94" s="3">
        <f t="shared" si="71"/>
        <v>0</v>
      </c>
      <c r="AO94" s="4" t="str">
        <f t="shared" si="72"/>
        <v/>
      </c>
      <c r="AP94" s="2"/>
      <c r="AQ94" s="2"/>
      <c r="AR94" s="3">
        <f t="shared" si="73"/>
        <v>0</v>
      </c>
      <c r="AS94" s="4" t="str">
        <f t="shared" si="74"/>
        <v/>
      </c>
      <c r="AT94" s="3">
        <f t="shared" si="75"/>
        <v>0</v>
      </c>
      <c r="AU94" s="3">
        <f t="shared" si="76"/>
        <v>0</v>
      </c>
      <c r="AV94" s="3">
        <f t="shared" si="77"/>
        <v>0</v>
      </c>
      <c r="AW94" s="4" t="str">
        <f t="shared" si="78"/>
        <v/>
      </c>
    </row>
    <row r="95" spans="1:49">
      <c r="A95" s="1" t="s">
        <v>107</v>
      </c>
      <c r="B95" s="3">
        <f>613.44</f>
        <v>613.44000000000005</v>
      </c>
      <c r="C95" s="3">
        <f>325</f>
        <v>325</v>
      </c>
      <c r="D95" s="3">
        <f t="shared" si="53"/>
        <v>288.44000000000005</v>
      </c>
      <c r="E95" s="4">
        <f t="shared" si="54"/>
        <v>1.8875076923076926</v>
      </c>
      <c r="F95" s="3">
        <f>247</f>
        <v>247</v>
      </c>
      <c r="G95" s="3">
        <f>325</f>
        <v>325</v>
      </c>
      <c r="H95" s="3">
        <f t="shared" si="55"/>
        <v>-78</v>
      </c>
      <c r="I95" s="4">
        <f t="shared" si="56"/>
        <v>0.76</v>
      </c>
      <c r="J95" s="3">
        <f>97.5</f>
        <v>97.5</v>
      </c>
      <c r="K95" s="3">
        <f>325</f>
        <v>325</v>
      </c>
      <c r="L95" s="3">
        <f t="shared" si="57"/>
        <v>-227.5</v>
      </c>
      <c r="M95" s="4">
        <f t="shared" si="58"/>
        <v>0.3</v>
      </c>
      <c r="N95" s="3">
        <f>487.5</f>
        <v>487.5</v>
      </c>
      <c r="O95" s="3">
        <f>325</f>
        <v>325</v>
      </c>
      <c r="P95" s="3">
        <f t="shared" si="59"/>
        <v>162.5</v>
      </c>
      <c r="Q95" s="4">
        <f t="shared" si="60"/>
        <v>1.5</v>
      </c>
      <c r="R95" s="3">
        <f>71.5</f>
        <v>71.5</v>
      </c>
      <c r="S95" s="3">
        <f>325</f>
        <v>325</v>
      </c>
      <c r="T95" s="3">
        <f t="shared" si="61"/>
        <v>-253.5</v>
      </c>
      <c r="U95" s="4">
        <f t="shared" si="62"/>
        <v>0.22</v>
      </c>
      <c r="V95" s="3">
        <f>868.56</f>
        <v>868.56</v>
      </c>
      <c r="W95" s="3">
        <f>325</f>
        <v>325</v>
      </c>
      <c r="X95" s="3">
        <f t="shared" si="63"/>
        <v>543.55999999999995</v>
      </c>
      <c r="Y95" s="4">
        <f t="shared" si="64"/>
        <v>2.6724923076923077</v>
      </c>
      <c r="Z95" s="3">
        <f>0</f>
        <v>0</v>
      </c>
      <c r="AA95" s="3">
        <f>325</f>
        <v>325</v>
      </c>
      <c r="AB95" s="3">
        <f t="shared" si="65"/>
        <v>-325</v>
      </c>
      <c r="AC95" s="4">
        <f t="shared" si="66"/>
        <v>0</v>
      </c>
      <c r="AD95" s="3">
        <f>467.19</f>
        <v>467.19</v>
      </c>
      <c r="AE95" s="3">
        <f>325</f>
        <v>325</v>
      </c>
      <c r="AF95" s="3">
        <f t="shared" si="67"/>
        <v>142.19</v>
      </c>
      <c r="AG95" s="4">
        <f t="shared" si="68"/>
        <v>1.4375076923076924</v>
      </c>
      <c r="AH95" s="3">
        <f>832.81</f>
        <v>832.81</v>
      </c>
      <c r="AI95" s="3">
        <f>325</f>
        <v>325</v>
      </c>
      <c r="AJ95" s="3">
        <f t="shared" si="69"/>
        <v>507.80999999999995</v>
      </c>
      <c r="AK95" s="4">
        <f t="shared" si="70"/>
        <v>2.5624923076923074</v>
      </c>
      <c r="AL95" s="3">
        <f>1673.75</f>
        <v>1673.75</v>
      </c>
      <c r="AM95" s="3">
        <f>325</f>
        <v>325</v>
      </c>
      <c r="AN95" s="3">
        <f t="shared" si="71"/>
        <v>1348.75</v>
      </c>
      <c r="AO95" s="4">
        <f t="shared" si="72"/>
        <v>5.15</v>
      </c>
      <c r="AP95" s="3">
        <f>0</f>
        <v>0</v>
      </c>
      <c r="AQ95" s="3">
        <f>325</f>
        <v>325</v>
      </c>
      <c r="AR95" s="3">
        <f t="shared" si="73"/>
        <v>-325</v>
      </c>
      <c r="AS95" s="4">
        <f t="shared" si="74"/>
        <v>0</v>
      </c>
      <c r="AT95" s="3">
        <f t="shared" si="75"/>
        <v>5359.25</v>
      </c>
      <c r="AU95" s="3">
        <f t="shared" si="76"/>
        <v>3575</v>
      </c>
      <c r="AV95" s="3">
        <f t="shared" si="77"/>
        <v>1784.25</v>
      </c>
      <c r="AW95" s="4">
        <f t="shared" si="78"/>
        <v>1.499090909090909</v>
      </c>
    </row>
    <row r="96" spans="1:49">
      <c r="A96" s="1" t="s">
        <v>108</v>
      </c>
      <c r="B96" s="3">
        <f>330.31</f>
        <v>330.31</v>
      </c>
      <c r="C96" s="3">
        <f>175</f>
        <v>175</v>
      </c>
      <c r="D96" s="3">
        <f t="shared" si="53"/>
        <v>155.31</v>
      </c>
      <c r="E96" s="4">
        <f t="shared" si="54"/>
        <v>1.8874857142857142</v>
      </c>
      <c r="F96" s="3">
        <f>133</f>
        <v>133</v>
      </c>
      <c r="G96" s="3">
        <f>175</f>
        <v>175</v>
      </c>
      <c r="H96" s="3">
        <f t="shared" si="55"/>
        <v>-42</v>
      </c>
      <c r="I96" s="4">
        <f t="shared" si="56"/>
        <v>0.76</v>
      </c>
      <c r="J96" s="3">
        <f>52.5</f>
        <v>52.5</v>
      </c>
      <c r="K96" s="3">
        <f>175</f>
        <v>175</v>
      </c>
      <c r="L96" s="3">
        <f t="shared" si="57"/>
        <v>-122.5</v>
      </c>
      <c r="M96" s="4">
        <f t="shared" si="58"/>
        <v>0.3</v>
      </c>
      <c r="N96" s="3">
        <f>262.5</f>
        <v>262.5</v>
      </c>
      <c r="O96" s="3">
        <f>175</f>
        <v>175</v>
      </c>
      <c r="P96" s="3">
        <f t="shared" si="59"/>
        <v>87.5</v>
      </c>
      <c r="Q96" s="4">
        <f t="shared" si="60"/>
        <v>1.5</v>
      </c>
      <c r="R96" s="3">
        <f>38.5</f>
        <v>38.5</v>
      </c>
      <c r="S96" s="3">
        <f>175</f>
        <v>175</v>
      </c>
      <c r="T96" s="3">
        <f t="shared" si="61"/>
        <v>-136.5</v>
      </c>
      <c r="U96" s="4">
        <f t="shared" si="62"/>
        <v>0.22</v>
      </c>
      <c r="V96" s="3">
        <f>467.69</f>
        <v>467.69</v>
      </c>
      <c r="W96" s="3">
        <f>175</f>
        <v>175</v>
      </c>
      <c r="X96" s="3">
        <f t="shared" si="63"/>
        <v>292.69</v>
      </c>
      <c r="Y96" s="4">
        <f t="shared" si="64"/>
        <v>2.6725142857142856</v>
      </c>
      <c r="Z96" s="3">
        <f>0</f>
        <v>0</v>
      </c>
      <c r="AA96" s="3">
        <f>175</f>
        <v>175</v>
      </c>
      <c r="AB96" s="3">
        <f t="shared" si="65"/>
        <v>-175</v>
      </c>
      <c r="AC96" s="4">
        <f t="shared" si="66"/>
        <v>0</v>
      </c>
      <c r="AD96" s="3">
        <f>251.56</f>
        <v>251.56</v>
      </c>
      <c r="AE96" s="3">
        <f>175</f>
        <v>175</v>
      </c>
      <c r="AF96" s="3">
        <f t="shared" si="67"/>
        <v>76.56</v>
      </c>
      <c r="AG96" s="4">
        <f t="shared" si="68"/>
        <v>1.4374857142857143</v>
      </c>
      <c r="AH96" s="3">
        <f>448.44</f>
        <v>448.44</v>
      </c>
      <c r="AI96" s="3">
        <f>175</f>
        <v>175</v>
      </c>
      <c r="AJ96" s="3">
        <f t="shared" si="69"/>
        <v>273.44</v>
      </c>
      <c r="AK96" s="4">
        <f t="shared" si="70"/>
        <v>2.5625142857142857</v>
      </c>
      <c r="AL96" s="3">
        <f>901.25</f>
        <v>901.25</v>
      </c>
      <c r="AM96" s="3">
        <f>175</f>
        <v>175</v>
      </c>
      <c r="AN96" s="3">
        <f t="shared" si="71"/>
        <v>726.25</v>
      </c>
      <c r="AO96" s="4">
        <f t="shared" si="72"/>
        <v>5.15</v>
      </c>
      <c r="AP96" s="3">
        <f>0</f>
        <v>0</v>
      </c>
      <c r="AQ96" s="3">
        <f>175</f>
        <v>175</v>
      </c>
      <c r="AR96" s="3">
        <f t="shared" si="73"/>
        <v>-175</v>
      </c>
      <c r="AS96" s="4">
        <f t="shared" si="74"/>
        <v>0</v>
      </c>
      <c r="AT96" s="3">
        <f t="shared" si="75"/>
        <v>2885.75</v>
      </c>
      <c r="AU96" s="3">
        <f t="shared" si="76"/>
        <v>1925</v>
      </c>
      <c r="AV96" s="3">
        <f t="shared" si="77"/>
        <v>960.75</v>
      </c>
      <c r="AW96" s="4">
        <f t="shared" si="78"/>
        <v>1.499090909090909</v>
      </c>
    </row>
    <row r="97" spans="1:49">
      <c r="A97" s="1" t="s">
        <v>109</v>
      </c>
      <c r="B97" s="3">
        <f>0</f>
        <v>0</v>
      </c>
      <c r="C97" s="2"/>
      <c r="D97" s="3">
        <f t="shared" si="53"/>
        <v>0</v>
      </c>
      <c r="E97" s="4" t="str">
        <f t="shared" si="54"/>
        <v/>
      </c>
      <c r="F97" s="3">
        <f>0</f>
        <v>0</v>
      </c>
      <c r="G97" s="2"/>
      <c r="H97" s="3">
        <f t="shared" si="55"/>
        <v>0</v>
      </c>
      <c r="I97" s="4" t="str">
        <f t="shared" si="56"/>
        <v/>
      </c>
      <c r="J97" s="3">
        <f>0</f>
        <v>0</v>
      </c>
      <c r="K97" s="2"/>
      <c r="L97" s="3">
        <f t="shared" si="57"/>
        <v>0</v>
      </c>
      <c r="M97" s="4" t="str">
        <f t="shared" si="58"/>
        <v/>
      </c>
      <c r="N97" s="3">
        <f>0</f>
        <v>0</v>
      </c>
      <c r="O97" s="2"/>
      <c r="P97" s="3">
        <f t="shared" si="59"/>
        <v>0</v>
      </c>
      <c r="Q97" s="4" t="str">
        <f t="shared" si="60"/>
        <v/>
      </c>
      <c r="R97" s="3">
        <f>0</f>
        <v>0</v>
      </c>
      <c r="S97" s="2"/>
      <c r="T97" s="3">
        <f t="shared" si="61"/>
        <v>0</v>
      </c>
      <c r="U97" s="4" t="str">
        <f t="shared" si="62"/>
        <v/>
      </c>
      <c r="V97" s="3">
        <f>0</f>
        <v>0</v>
      </c>
      <c r="W97" s="2"/>
      <c r="X97" s="3">
        <f t="shared" si="63"/>
        <v>0</v>
      </c>
      <c r="Y97" s="4" t="str">
        <f t="shared" si="64"/>
        <v/>
      </c>
      <c r="Z97" s="3">
        <f>0</f>
        <v>0</v>
      </c>
      <c r="AA97" s="2"/>
      <c r="AB97" s="3">
        <f t="shared" si="65"/>
        <v>0</v>
      </c>
      <c r="AC97" s="4" t="str">
        <f t="shared" si="66"/>
        <v/>
      </c>
      <c r="AD97" s="3">
        <f>0</f>
        <v>0</v>
      </c>
      <c r="AE97" s="2"/>
      <c r="AF97" s="3">
        <f t="shared" si="67"/>
        <v>0</v>
      </c>
      <c r="AG97" s="4" t="str">
        <f t="shared" si="68"/>
        <v/>
      </c>
      <c r="AH97" s="3">
        <f>0</f>
        <v>0</v>
      </c>
      <c r="AI97" s="2"/>
      <c r="AJ97" s="3">
        <f t="shared" si="69"/>
        <v>0</v>
      </c>
      <c r="AK97" s="4" t="str">
        <f t="shared" si="70"/>
        <v/>
      </c>
      <c r="AL97" s="3">
        <f>0</f>
        <v>0</v>
      </c>
      <c r="AM97" s="2"/>
      <c r="AN97" s="3">
        <f t="shared" si="71"/>
        <v>0</v>
      </c>
      <c r="AO97" s="4" t="str">
        <f t="shared" si="72"/>
        <v/>
      </c>
      <c r="AP97" s="3">
        <f>0</f>
        <v>0</v>
      </c>
      <c r="AQ97" s="2"/>
      <c r="AR97" s="3">
        <f t="shared" si="73"/>
        <v>0</v>
      </c>
      <c r="AS97" s="4" t="str">
        <f t="shared" si="74"/>
        <v/>
      </c>
      <c r="AT97" s="3">
        <f t="shared" si="75"/>
        <v>0</v>
      </c>
      <c r="AU97" s="3">
        <f t="shared" si="76"/>
        <v>0</v>
      </c>
      <c r="AV97" s="3">
        <f t="shared" si="77"/>
        <v>0</v>
      </c>
      <c r="AW97" s="4" t="str">
        <f t="shared" si="78"/>
        <v/>
      </c>
    </row>
    <row r="98" spans="1:49">
      <c r="A98" s="1" t="s">
        <v>110</v>
      </c>
      <c r="B98" s="5">
        <f>(((B94)+(B95))+(B96))+(B97)</f>
        <v>943.75</v>
      </c>
      <c r="C98" s="5">
        <f>(((C94)+(C95))+(C96))+(C97)</f>
        <v>500</v>
      </c>
      <c r="D98" s="5">
        <f t="shared" si="53"/>
        <v>443.75</v>
      </c>
      <c r="E98" s="6">
        <f t="shared" si="54"/>
        <v>1.8875</v>
      </c>
      <c r="F98" s="5">
        <f>(((F94)+(F95))+(F96))+(F97)</f>
        <v>380</v>
      </c>
      <c r="G98" s="5">
        <f>(((G94)+(G95))+(G96))+(G97)</f>
        <v>500</v>
      </c>
      <c r="H98" s="5">
        <f t="shared" si="55"/>
        <v>-120</v>
      </c>
      <c r="I98" s="6">
        <f t="shared" si="56"/>
        <v>0.76</v>
      </c>
      <c r="J98" s="5">
        <f>(((J94)+(J95))+(J96))+(J97)</f>
        <v>150</v>
      </c>
      <c r="K98" s="5">
        <f>(((K94)+(K95))+(K96))+(K97)</f>
        <v>500</v>
      </c>
      <c r="L98" s="5">
        <f t="shared" si="57"/>
        <v>-350</v>
      </c>
      <c r="M98" s="6">
        <f t="shared" si="58"/>
        <v>0.3</v>
      </c>
      <c r="N98" s="5">
        <f>(((N94)+(N95))+(N96))+(N97)</f>
        <v>750</v>
      </c>
      <c r="O98" s="5">
        <f>(((O94)+(O95))+(O96))+(O97)</f>
        <v>500</v>
      </c>
      <c r="P98" s="5">
        <f t="shared" si="59"/>
        <v>250</v>
      </c>
      <c r="Q98" s="6">
        <f t="shared" si="60"/>
        <v>1.5</v>
      </c>
      <c r="R98" s="5">
        <f>(((R94)+(R95))+(R96))+(R97)</f>
        <v>110</v>
      </c>
      <c r="S98" s="5">
        <f>(((S94)+(S95))+(S96))+(S97)</f>
        <v>500</v>
      </c>
      <c r="T98" s="5">
        <f t="shared" si="61"/>
        <v>-390</v>
      </c>
      <c r="U98" s="6">
        <f t="shared" si="62"/>
        <v>0.22</v>
      </c>
      <c r="V98" s="5">
        <f>(((V94)+(V95))+(V96))+(V97)</f>
        <v>1336.25</v>
      </c>
      <c r="W98" s="5">
        <f>(((W94)+(W95))+(W96))+(W97)</f>
        <v>500</v>
      </c>
      <c r="X98" s="5">
        <f t="shared" si="63"/>
        <v>836.25</v>
      </c>
      <c r="Y98" s="6">
        <f t="shared" si="64"/>
        <v>2.6724999999999999</v>
      </c>
      <c r="Z98" s="5">
        <f>(((Z94)+(Z95))+(Z96))+(Z97)</f>
        <v>0</v>
      </c>
      <c r="AA98" s="5">
        <f>(((AA94)+(AA95))+(AA96))+(AA97)</f>
        <v>500</v>
      </c>
      <c r="AB98" s="5">
        <f t="shared" si="65"/>
        <v>-500</v>
      </c>
      <c r="AC98" s="6">
        <f t="shared" si="66"/>
        <v>0</v>
      </c>
      <c r="AD98" s="5">
        <f>(((AD94)+(AD95))+(AD96))+(AD97)</f>
        <v>718.75</v>
      </c>
      <c r="AE98" s="5">
        <f>(((AE94)+(AE95))+(AE96))+(AE97)</f>
        <v>500</v>
      </c>
      <c r="AF98" s="5">
        <f t="shared" si="67"/>
        <v>218.75</v>
      </c>
      <c r="AG98" s="6">
        <f t="shared" si="68"/>
        <v>1.4375</v>
      </c>
      <c r="AH98" s="5">
        <f>(((AH94)+(AH95))+(AH96))+(AH97)</f>
        <v>1281.25</v>
      </c>
      <c r="AI98" s="5">
        <f>(((AI94)+(AI95))+(AI96))+(AI97)</f>
        <v>500</v>
      </c>
      <c r="AJ98" s="5">
        <f t="shared" si="69"/>
        <v>781.25</v>
      </c>
      <c r="AK98" s="6">
        <f t="shared" si="70"/>
        <v>2.5625</v>
      </c>
      <c r="AL98" s="5">
        <f>(((AL94)+(AL95))+(AL96))+(AL97)</f>
        <v>2575</v>
      </c>
      <c r="AM98" s="5">
        <f>(((AM94)+(AM95))+(AM96))+(AM97)</f>
        <v>500</v>
      </c>
      <c r="AN98" s="5">
        <f t="shared" si="71"/>
        <v>2075</v>
      </c>
      <c r="AO98" s="6">
        <f t="shared" si="72"/>
        <v>5.15</v>
      </c>
      <c r="AP98" s="5">
        <f>(((AP94)+(AP95))+(AP96))+(AP97)</f>
        <v>0</v>
      </c>
      <c r="AQ98" s="5">
        <f>(((AQ94)+(AQ95))+(AQ96))+(AQ97)</f>
        <v>500</v>
      </c>
      <c r="AR98" s="5">
        <f t="shared" si="73"/>
        <v>-500</v>
      </c>
      <c r="AS98" s="6">
        <f t="shared" si="74"/>
        <v>0</v>
      </c>
      <c r="AT98" s="5">
        <f t="shared" si="75"/>
        <v>8245</v>
      </c>
      <c r="AU98" s="5">
        <f t="shared" si="76"/>
        <v>5500</v>
      </c>
      <c r="AV98" s="5">
        <f t="shared" si="77"/>
        <v>2745</v>
      </c>
      <c r="AW98" s="6">
        <f t="shared" si="78"/>
        <v>1.499090909090909</v>
      </c>
    </row>
    <row r="99" spans="1:49">
      <c r="A99" s="1" t="s">
        <v>111</v>
      </c>
      <c r="B99" s="2"/>
      <c r="C99" s="2"/>
      <c r="D99" s="3">
        <f t="shared" si="53"/>
        <v>0</v>
      </c>
      <c r="E99" s="4" t="str">
        <f t="shared" si="54"/>
        <v/>
      </c>
      <c r="F99" s="2"/>
      <c r="G99" s="2"/>
      <c r="H99" s="3">
        <f t="shared" si="55"/>
        <v>0</v>
      </c>
      <c r="I99" s="4" t="str">
        <f t="shared" si="56"/>
        <v/>
      </c>
      <c r="J99" s="2"/>
      <c r="K99" s="2"/>
      <c r="L99" s="3">
        <f t="shared" si="57"/>
        <v>0</v>
      </c>
      <c r="M99" s="4" t="str">
        <f t="shared" si="58"/>
        <v/>
      </c>
      <c r="N99" s="2"/>
      <c r="O99" s="2"/>
      <c r="P99" s="3">
        <f t="shared" si="59"/>
        <v>0</v>
      </c>
      <c r="Q99" s="4" t="str">
        <f t="shared" si="60"/>
        <v/>
      </c>
      <c r="R99" s="2"/>
      <c r="S99" s="2"/>
      <c r="T99" s="3">
        <f t="shared" si="61"/>
        <v>0</v>
      </c>
      <c r="U99" s="4" t="str">
        <f t="shared" si="62"/>
        <v/>
      </c>
      <c r="V99" s="2"/>
      <c r="W99" s="2"/>
      <c r="X99" s="3">
        <f t="shared" si="63"/>
        <v>0</v>
      </c>
      <c r="Y99" s="4" t="str">
        <f t="shared" si="64"/>
        <v/>
      </c>
      <c r="Z99" s="2"/>
      <c r="AA99" s="2"/>
      <c r="AB99" s="3">
        <f t="shared" si="65"/>
        <v>0</v>
      </c>
      <c r="AC99" s="4" t="str">
        <f t="shared" si="66"/>
        <v/>
      </c>
      <c r="AD99" s="2"/>
      <c r="AE99" s="2"/>
      <c r="AF99" s="3">
        <f t="shared" si="67"/>
        <v>0</v>
      </c>
      <c r="AG99" s="4" t="str">
        <f t="shared" si="68"/>
        <v/>
      </c>
      <c r="AH99" s="2"/>
      <c r="AI99" s="2"/>
      <c r="AJ99" s="3">
        <f t="shared" si="69"/>
        <v>0</v>
      </c>
      <c r="AK99" s="4" t="str">
        <f t="shared" si="70"/>
        <v/>
      </c>
      <c r="AL99" s="2"/>
      <c r="AM99" s="2"/>
      <c r="AN99" s="3">
        <f t="shared" si="71"/>
        <v>0</v>
      </c>
      <c r="AO99" s="4" t="str">
        <f t="shared" si="72"/>
        <v/>
      </c>
      <c r="AP99" s="2"/>
      <c r="AQ99" s="2"/>
      <c r="AR99" s="3">
        <f t="shared" si="73"/>
        <v>0</v>
      </c>
      <c r="AS99" s="4" t="str">
        <f t="shared" si="74"/>
        <v/>
      </c>
      <c r="AT99" s="3">
        <f t="shared" si="75"/>
        <v>0</v>
      </c>
      <c r="AU99" s="3">
        <f t="shared" si="76"/>
        <v>0</v>
      </c>
      <c r="AV99" s="3">
        <f t="shared" si="77"/>
        <v>0</v>
      </c>
      <c r="AW99" s="4" t="str">
        <f t="shared" si="78"/>
        <v/>
      </c>
    </row>
    <row r="100" spans="1:49">
      <c r="A100" s="1" t="s">
        <v>112</v>
      </c>
      <c r="B100" s="3">
        <f>65</f>
        <v>65</v>
      </c>
      <c r="C100" s="3">
        <f>1041.63</f>
        <v>1041.6300000000001</v>
      </c>
      <c r="D100" s="3">
        <f t="shared" si="53"/>
        <v>-976.63000000000011</v>
      </c>
      <c r="E100" s="4">
        <f t="shared" si="54"/>
        <v>6.2402196557318809E-2</v>
      </c>
      <c r="F100" s="3">
        <f>0</f>
        <v>0</v>
      </c>
      <c r="G100" s="3">
        <f>1041.63</f>
        <v>1041.6300000000001</v>
      </c>
      <c r="H100" s="3">
        <f t="shared" si="55"/>
        <v>-1041.6300000000001</v>
      </c>
      <c r="I100" s="4">
        <f t="shared" si="56"/>
        <v>0</v>
      </c>
      <c r="J100" s="3">
        <f>0</f>
        <v>0</v>
      </c>
      <c r="K100" s="3">
        <f>1041.63</f>
        <v>1041.6300000000001</v>
      </c>
      <c r="L100" s="3">
        <f t="shared" si="57"/>
        <v>-1041.6300000000001</v>
      </c>
      <c r="M100" s="4">
        <f t="shared" si="58"/>
        <v>0</v>
      </c>
      <c r="N100" s="3">
        <f>195</f>
        <v>195</v>
      </c>
      <c r="O100" s="3">
        <f>1041.63</f>
        <v>1041.6300000000001</v>
      </c>
      <c r="P100" s="3">
        <f t="shared" si="59"/>
        <v>-846.63000000000011</v>
      </c>
      <c r="Q100" s="4">
        <f t="shared" si="60"/>
        <v>0.18720658967195644</v>
      </c>
      <c r="R100" s="2"/>
      <c r="S100" s="3">
        <f>1041.63</f>
        <v>1041.6300000000001</v>
      </c>
      <c r="T100" s="3">
        <f t="shared" si="61"/>
        <v>-1041.6300000000001</v>
      </c>
      <c r="U100" s="4">
        <f t="shared" si="62"/>
        <v>0</v>
      </c>
      <c r="V100" s="2"/>
      <c r="W100" s="3">
        <f>1041.63</f>
        <v>1041.6300000000001</v>
      </c>
      <c r="X100" s="3">
        <f t="shared" si="63"/>
        <v>-1041.6300000000001</v>
      </c>
      <c r="Y100" s="4">
        <f t="shared" si="64"/>
        <v>0</v>
      </c>
      <c r="Z100" s="2"/>
      <c r="AA100" s="3">
        <f>1041.63</f>
        <v>1041.6300000000001</v>
      </c>
      <c r="AB100" s="3">
        <f t="shared" si="65"/>
        <v>-1041.6300000000001</v>
      </c>
      <c r="AC100" s="4">
        <f t="shared" si="66"/>
        <v>0</v>
      </c>
      <c r="AD100" s="2"/>
      <c r="AE100" s="3">
        <f>1041.63</f>
        <v>1041.6300000000001</v>
      </c>
      <c r="AF100" s="3">
        <f t="shared" si="67"/>
        <v>-1041.6300000000001</v>
      </c>
      <c r="AG100" s="4">
        <f t="shared" si="68"/>
        <v>0</v>
      </c>
      <c r="AH100" s="2"/>
      <c r="AI100" s="3">
        <f>1041.63</f>
        <v>1041.6300000000001</v>
      </c>
      <c r="AJ100" s="3">
        <f t="shared" si="69"/>
        <v>-1041.6300000000001</v>
      </c>
      <c r="AK100" s="4">
        <f t="shared" si="70"/>
        <v>0</v>
      </c>
      <c r="AL100" s="2"/>
      <c r="AM100" s="3">
        <f>1041.63</f>
        <v>1041.6300000000001</v>
      </c>
      <c r="AN100" s="3">
        <f t="shared" si="71"/>
        <v>-1041.6300000000001</v>
      </c>
      <c r="AO100" s="4">
        <f t="shared" si="72"/>
        <v>0</v>
      </c>
      <c r="AP100" s="2"/>
      <c r="AQ100" s="3">
        <f>1041.63</f>
        <v>1041.6300000000001</v>
      </c>
      <c r="AR100" s="3">
        <f t="shared" si="73"/>
        <v>-1041.6300000000001</v>
      </c>
      <c r="AS100" s="4">
        <f t="shared" si="74"/>
        <v>0</v>
      </c>
      <c r="AT100" s="3">
        <f t="shared" si="75"/>
        <v>260</v>
      </c>
      <c r="AU100" s="3">
        <f t="shared" si="76"/>
        <v>11457.930000000004</v>
      </c>
      <c r="AV100" s="3">
        <f t="shared" si="77"/>
        <v>-11197.930000000004</v>
      </c>
      <c r="AW100" s="4">
        <f t="shared" si="78"/>
        <v>2.2691707839025018E-2</v>
      </c>
    </row>
    <row r="101" spans="1:49">
      <c r="A101" s="1" t="s">
        <v>113</v>
      </c>
      <c r="B101" s="3">
        <f>35</f>
        <v>35</v>
      </c>
      <c r="C101" s="3">
        <f>560.88</f>
        <v>560.88</v>
      </c>
      <c r="D101" s="3">
        <f t="shared" si="53"/>
        <v>-525.88</v>
      </c>
      <c r="E101" s="4">
        <f t="shared" si="54"/>
        <v>6.2401939808871772E-2</v>
      </c>
      <c r="F101" s="3">
        <f>0</f>
        <v>0</v>
      </c>
      <c r="G101" s="3">
        <f>560.88</f>
        <v>560.88</v>
      </c>
      <c r="H101" s="3">
        <f t="shared" si="55"/>
        <v>-560.88</v>
      </c>
      <c r="I101" s="4">
        <f t="shared" si="56"/>
        <v>0</v>
      </c>
      <c r="J101" s="3">
        <f>0</f>
        <v>0</v>
      </c>
      <c r="K101" s="3">
        <f>560.88</f>
        <v>560.88</v>
      </c>
      <c r="L101" s="3">
        <f t="shared" si="57"/>
        <v>-560.88</v>
      </c>
      <c r="M101" s="4">
        <f t="shared" si="58"/>
        <v>0</v>
      </c>
      <c r="N101" s="3">
        <f>105</f>
        <v>105</v>
      </c>
      <c r="O101" s="3">
        <f>560.88</f>
        <v>560.88</v>
      </c>
      <c r="P101" s="3">
        <f t="shared" si="59"/>
        <v>-455.88</v>
      </c>
      <c r="Q101" s="4">
        <f t="shared" si="60"/>
        <v>0.18720581942661532</v>
      </c>
      <c r="R101" s="2"/>
      <c r="S101" s="3">
        <f>560.88</f>
        <v>560.88</v>
      </c>
      <c r="T101" s="3">
        <f t="shared" si="61"/>
        <v>-560.88</v>
      </c>
      <c r="U101" s="4">
        <f t="shared" si="62"/>
        <v>0</v>
      </c>
      <c r="V101" s="2"/>
      <c r="W101" s="3">
        <f>560.88</f>
        <v>560.88</v>
      </c>
      <c r="X101" s="3">
        <f t="shared" si="63"/>
        <v>-560.88</v>
      </c>
      <c r="Y101" s="4">
        <f t="shared" si="64"/>
        <v>0</v>
      </c>
      <c r="Z101" s="2"/>
      <c r="AA101" s="3">
        <f>560.88</f>
        <v>560.88</v>
      </c>
      <c r="AB101" s="3">
        <f t="shared" si="65"/>
        <v>-560.88</v>
      </c>
      <c r="AC101" s="4">
        <f t="shared" si="66"/>
        <v>0</v>
      </c>
      <c r="AD101" s="2"/>
      <c r="AE101" s="3">
        <f>560.88</f>
        <v>560.88</v>
      </c>
      <c r="AF101" s="3">
        <f t="shared" si="67"/>
        <v>-560.88</v>
      </c>
      <c r="AG101" s="4">
        <f t="shared" si="68"/>
        <v>0</v>
      </c>
      <c r="AH101" s="2"/>
      <c r="AI101" s="3">
        <f>560.88</f>
        <v>560.88</v>
      </c>
      <c r="AJ101" s="3">
        <f t="shared" si="69"/>
        <v>-560.88</v>
      </c>
      <c r="AK101" s="4">
        <f t="shared" si="70"/>
        <v>0</v>
      </c>
      <c r="AL101" s="2"/>
      <c r="AM101" s="3">
        <f>560.88</f>
        <v>560.88</v>
      </c>
      <c r="AN101" s="3">
        <f t="shared" si="71"/>
        <v>-560.88</v>
      </c>
      <c r="AO101" s="4">
        <f t="shared" si="72"/>
        <v>0</v>
      </c>
      <c r="AP101" s="2"/>
      <c r="AQ101" s="3">
        <f>560.88</f>
        <v>560.88</v>
      </c>
      <c r="AR101" s="3">
        <f t="shared" si="73"/>
        <v>-560.88</v>
      </c>
      <c r="AS101" s="4">
        <f t="shared" si="74"/>
        <v>0</v>
      </c>
      <c r="AT101" s="3">
        <f t="shared" si="75"/>
        <v>140</v>
      </c>
      <c r="AU101" s="3">
        <f t="shared" si="76"/>
        <v>6169.68</v>
      </c>
      <c r="AV101" s="3">
        <f t="shared" si="77"/>
        <v>-6029.68</v>
      </c>
      <c r="AW101" s="4">
        <f t="shared" si="78"/>
        <v>2.2691614475953369E-2</v>
      </c>
    </row>
    <row r="102" spans="1:49">
      <c r="A102" s="1" t="s">
        <v>114</v>
      </c>
      <c r="B102" s="3">
        <f>0</f>
        <v>0</v>
      </c>
      <c r="C102" s="2"/>
      <c r="D102" s="3">
        <f t="shared" si="53"/>
        <v>0</v>
      </c>
      <c r="E102" s="4" t="str">
        <f t="shared" si="54"/>
        <v/>
      </c>
      <c r="F102" s="3">
        <f>0</f>
        <v>0</v>
      </c>
      <c r="G102" s="2"/>
      <c r="H102" s="3">
        <f t="shared" si="55"/>
        <v>0</v>
      </c>
      <c r="I102" s="4" t="str">
        <f t="shared" si="56"/>
        <v/>
      </c>
      <c r="J102" s="3">
        <f>0</f>
        <v>0</v>
      </c>
      <c r="K102" s="2"/>
      <c r="L102" s="3">
        <f t="shared" si="57"/>
        <v>0</v>
      </c>
      <c r="M102" s="4" t="str">
        <f t="shared" si="58"/>
        <v/>
      </c>
      <c r="N102" s="3">
        <f>0</f>
        <v>0</v>
      </c>
      <c r="O102" s="2"/>
      <c r="P102" s="3">
        <f t="shared" si="59"/>
        <v>0</v>
      </c>
      <c r="Q102" s="4" t="str">
        <f t="shared" si="60"/>
        <v/>
      </c>
      <c r="R102" s="2"/>
      <c r="S102" s="2"/>
      <c r="T102" s="3">
        <f t="shared" si="61"/>
        <v>0</v>
      </c>
      <c r="U102" s="4" t="str">
        <f t="shared" si="62"/>
        <v/>
      </c>
      <c r="V102" s="2"/>
      <c r="W102" s="2"/>
      <c r="X102" s="3">
        <f t="shared" si="63"/>
        <v>0</v>
      </c>
      <c r="Y102" s="4" t="str">
        <f t="shared" si="64"/>
        <v/>
      </c>
      <c r="Z102" s="2"/>
      <c r="AA102" s="2"/>
      <c r="AB102" s="3">
        <f t="shared" si="65"/>
        <v>0</v>
      </c>
      <c r="AC102" s="4" t="str">
        <f t="shared" si="66"/>
        <v/>
      </c>
      <c r="AD102" s="2"/>
      <c r="AE102" s="2"/>
      <c r="AF102" s="3">
        <f t="shared" si="67"/>
        <v>0</v>
      </c>
      <c r="AG102" s="4" t="str">
        <f t="shared" si="68"/>
        <v/>
      </c>
      <c r="AH102" s="2"/>
      <c r="AI102" s="2"/>
      <c r="AJ102" s="3">
        <f t="shared" si="69"/>
        <v>0</v>
      </c>
      <c r="AK102" s="4" t="str">
        <f t="shared" si="70"/>
        <v/>
      </c>
      <c r="AL102" s="2"/>
      <c r="AM102" s="2"/>
      <c r="AN102" s="3">
        <f t="shared" si="71"/>
        <v>0</v>
      </c>
      <c r="AO102" s="4" t="str">
        <f t="shared" si="72"/>
        <v/>
      </c>
      <c r="AP102" s="2"/>
      <c r="AQ102" s="2"/>
      <c r="AR102" s="3">
        <f t="shared" si="73"/>
        <v>0</v>
      </c>
      <c r="AS102" s="4" t="str">
        <f t="shared" si="74"/>
        <v/>
      </c>
      <c r="AT102" s="3">
        <f t="shared" si="75"/>
        <v>0</v>
      </c>
      <c r="AU102" s="3">
        <f t="shared" si="76"/>
        <v>0</v>
      </c>
      <c r="AV102" s="3">
        <f t="shared" si="77"/>
        <v>0</v>
      </c>
      <c r="AW102" s="4" t="str">
        <f t="shared" si="78"/>
        <v/>
      </c>
    </row>
    <row r="103" spans="1:49">
      <c r="A103" s="1" t="s">
        <v>115</v>
      </c>
      <c r="B103" s="5">
        <f>(((B99)+(B100))+(B101))+(B102)</f>
        <v>100</v>
      </c>
      <c r="C103" s="5">
        <f>(((C99)+(C100))+(C101))+(C102)</f>
        <v>1602.5100000000002</v>
      </c>
      <c r="D103" s="5">
        <f t="shared" si="53"/>
        <v>-1502.5100000000002</v>
      </c>
      <c r="E103" s="6">
        <f t="shared" si="54"/>
        <v>6.2402106695122021E-2</v>
      </c>
      <c r="F103" s="5">
        <f>(((F99)+(F100))+(F101))+(F102)</f>
        <v>0</v>
      </c>
      <c r="G103" s="5">
        <f>(((G99)+(G100))+(G101))+(G102)</f>
        <v>1602.5100000000002</v>
      </c>
      <c r="H103" s="5">
        <f t="shared" si="55"/>
        <v>-1602.5100000000002</v>
      </c>
      <c r="I103" s="6">
        <f t="shared" si="56"/>
        <v>0</v>
      </c>
      <c r="J103" s="5">
        <f>(((J99)+(J100))+(J101))+(J102)</f>
        <v>0</v>
      </c>
      <c r="K103" s="5">
        <f>(((K99)+(K100))+(K101))+(K102)</f>
        <v>1602.5100000000002</v>
      </c>
      <c r="L103" s="5">
        <f t="shared" si="57"/>
        <v>-1602.5100000000002</v>
      </c>
      <c r="M103" s="6">
        <f t="shared" si="58"/>
        <v>0</v>
      </c>
      <c r="N103" s="5">
        <f>(((N99)+(N100))+(N101))+(N102)</f>
        <v>300</v>
      </c>
      <c r="O103" s="5">
        <f>(((O99)+(O100))+(O101))+(O102)</f>
        <v>1602.5100000000002</v>
      </c>
      <c r="P103" s="5">
        <f t="shared" si="59"/>
        <v>-1302.5100000000002</v>
      </c>
      <c r="Q103" s="6">
        <f t="shared" si="60"/>
        <v>0.18720632008536606</v>
      </c>
      <c r="R103" s="5">
        <f>(((R99)+(R100))+(R101))+(R102)</f>
        <v>0</v>
      </c>
      <c r="S103" s="5">
        <f>(((S99)+(S100))+(S101))+(S102)</f>
        <v>1602.5100000000002</v>
      </c>
      <c r="T103" s="5">
        <f t="shared" si="61"/>
        <v>-1602.5100000000002</v>
      </c>
      <c r="U103" s="6">
        <f t="shared" si="62"/>
        <v>0</v>
      </c>
      <c r="V103" s="5">
        <f>(((V99)+(V100))+(V101))+(V102)</f>
        <v>0</v>
      </c>
      <c r="W103" s="5">
        <f>(((W99)+(W100))+(W101))+(W102)</f>
        <v>1602.5100000000002</v>
      </c>
      <c r="X103" s="5">
        <f t="shared" si="63"/>
        <v>-1602.5100000000002</v>
      </c>
      <c r="Y103" s="6">
        <f t="shared" si="64"/>
        <v>0</v>
      </c>
      <c r="Z103" s="5">
        <f>(((Z99)+(Z100))+(Z101))+(Z102)</f>
        <v>0</v>
      </c>
      <c r="AA103" s="5">
        <f>(((AA99)+(AA100))+(AA101))+(AA102)</f>
        <v>1602.5100000000002</v>
      </c>
      <c r="AB103" s="5">
        <f t="shared" si="65"/>
        <v>-1602.5100000000002</v>
      </c>
      <c r="AC103" s="6">
        <f t="shared" si="66"/>
        <v>0</v>
      </c>
      <c r="AD103" s="5">
        <f>(((AD99)+(AD100))+(AD101))+(AD102)</f>
        <v>0</v>
      </c>
      <c r="AE103" s="5">
        <f>(((AE99)+(AE100))+(AE101))+(AE102)</f>
        <v>1602.5100000000002</v>
      </c>
      <c r="AF103" s="5">
        <f t="shared" si="67"/>
        <v>-1602.5100000000002</v>
      </c>
      <c r="AG103" s="6">
        <f t="shared" si="68"/>
        <v>0</v>
      </c>
      <c r="AH103" s="5">
        <f>(((AH99)+(AH100))+(AH101))+(AH102)</f>
        <v>0</v>
      </c>
      <c r="AI103" s="5">
        <f>(((AI99)+(AI100))+(AI101))+(AI102)</f>
        <v>1602.5100000000002</v>
      </c>
      <c r="AJ103" s="5">
        <f t="shared" si="69"/>
        <v>-1602.5100000000002</v>
      </c>
      <c r="AK103" s="6">
        <f t="shared" si="70"/>
        <v>0</v>
      </c>
      <c r="AL103" s="5">
        <f>(((AL99)+(AL100))+(AL101))+(AL102)</f>
        <v>0</v>
      </c>
      <c r="AM103" s="5">
        <f>(((AM99)+(AM100))+(AM101))+(AM102)</f>
        <v>1602.5100000000002</v>
      </c>
      <c r="AN103" s="5">
        <f t="shared" si="71"/>
        <v>-1602.5100000000002</v>
      </c>
      <c r="AO103" s="6">
        <f t="shared" si="72"/>
        <v>0</v>
      </c>
      <c r="AP103" s="5">
        <f>(((AP99)+(AP100))+(AP101))+(AP102)</f>
        <v>0</v>
      </c>
      <c r="AQ103" s="5">
        <f>(((AQ99)+(AQ100))+(AQ101))+(AQ102)</f>
        <v>1602.5100000000002</v>
      </c>
      <c r="AR103" s="5">
        <f t="shared" si="73"/>
        <v>-1602.5100000000002</v>
      </c>
      <c r="AS103" s="6">
        <f t="shared" si="74"/>
        <v>0</v>
      </c>
      <c r="AT103" s="5">
        <f t="shared" si="75"/>
        <v>400</v>
      </c>
      <c r="AU103" s="5">
        <f t="shared" si="76"/>
        <v>17627.61</v>
      </c>
      <c r="AV103" s="5">
        <f t="shared" si="77"/>
        <v>-17227.61</v>
      </c>
      <c r="AW103" s="6">
        <f t="shared" si="78"/>
        <v>2.2691675161862556E-2</v>
      </c>
    </row>
    <row r="104" spans="1:49">
      <c r="A104" s="1" t="s">
        <v>116</v>
      </c>
      <c r="B104" s="2"/>
      <c r="C104" s="2"/>
      <c r="D104" s="3">
        <f t="shared" si="53"/>
        <v>0</v>
      </c>
      <c r="E104" s="4" t="str">
        <f t="shared" si="54"/>
        <v/>
      </c>
      <c r="F104" s="2"/>
      <c r="G104" s="2"/>
      <c r="H104" s="3">
        <f t="shared" si="55"/>
        <v>0</v>
      </c>
      <c r="I104" s="4" t="str">
        <f t="shared" si="56"/>
        <v/>
      </c>
      <c r="J104" s="2"/>
      <c r="K104" s="2"/>
      <c r="L104" s="3">
        <f t="shared" si="57"/>
        <v>0</v>
      </c>
      <c r="M104" s="4" t="str">
        <f t="shared" si="58"/>
        <v/>
      </c>
      <c r="N104" s="2"/>
      <c r="O104" s="2"/>
      <c r="P104" s="3">
        <f t="shared" si="59"/>
        <v>0</v>
      </c>
      <c r="Q104" s="4" t="str">
        <f t="shared" si="60"/>
        <v/>
      </c>
      <c r="R104" s="2"/>
      <c r="S104" s="2"/>
      <c r="T104" s="3">
        <f t="shared" si="61"/>
        <v>0</v>
      </c>
      <c r="U104" s="4" t="str">
        <f t="shared" si="62"/>
        <v/>
      </c>
      <c r="V104" s="2"/>
      <c r="W104" s="2"/>
      <c r="X104" s="3">
        <f t="shared" si="63"/>
        <v>0</v>
      </c>
      <c r="Y104" s="4" t="str">
        <f t="shared" si="64"/>
        <v/>
      </c>
      <c r="Z104" s="2"/>
      <c r="AA104" s="2"/>
      <c r="AB104" s="3">
        <f t="shared" si="65"/>
        <v>0</v>
      </c>
      <c r="AC104" s="4" t="str">
        <f t="shared" si="66"/>
        <v/>
      </c>
      <c r="AD104" s="2"/>
      <c r="AE104" s="2"/>
      <c r="AF104" s="3">
        <f t="shared" si="67"/>
        <v>0</v>
      </c>
      <c r="AG104" s="4" t="str">
        <f t="shared" si="68"/>
        <v/>
      </c>
      <c r="AH104" s="2"/>
      <c r="AI104" s="2"/>
      <c r="AJ104" s="3">
        <f t="shared" si="69"/>
        <v>0</v>
      </c>
      <c r="AK104" s="4" t="str">
        <f t="shared" si="70"/>
        <v/>
      </c>
      <c r="AL104" s="2"/>
      <c r="AM104" s="2"/>
      <c r="AN104" s="3">
        <f t="shared" si="71"/>
        <v>0</v>
      </c>
      <c r="AO104" s="4" t="str">
        <f t="shared" si="72"/>
        <v/>
      </c>
      <c r="AP104" s="2"/>
      <c r="AQ104" s="2"/>
      <c r="AR104" s="3">
        <f t="shared" si="73"/>
        <v>0</v>
      </c>
      <c r="AS104" s="4" t="str">
        <f t="shared" si="74"/>
        <v/>
      </c>
      <c r="AT104" s="3">
        <f t="shared" si="75"/>
        <v>0</v>
      </c>
      <c r="AU104" s="3">
        <f t="shared" si="76"/>
        <v>0</v>
      </c>
      <c r="AV104" s="3">
        <f t="shared" si="77"/>
        <v>0</v>
      </c>
      <c r="AW104" s="4" t="str">
        <f t="shared" si="78"/>
        <v/>
      </c>
    </row>
    <row r="105" spans="1:49">
      <c r="A105" s="1" t="s">
        <v>117</v>
      </c>
      <c r="B105" s="3">
        <f>11.21</f>
        <v>11.21</v>
      </c>
      <c r="C105" s="3">
        <f>290.01</f>
        <v>290.01</v>
      </c>
      <c r="D105" s="3">
        <f t="shared" si="53"/>
        <v>-278.8</v>
      </c>
      <c r="E105" s="4">
        <f t="shared" si="54"/>
        <v>3.8653839522775083E-2</v>
      </c>
      <c r="F105" s="2"/>
      <c r="G105" s="3">
        <f>290.01</f>
        <v>290.01</v>
      </c>
      <c r="H105" s="3">
        <f t="shared" si="55"/>
        <v>-290.01</v>
      </c>
      <c r="I105" s="4">
        <f t="shared" si="56"/>
        <v>0</v>
      </c>
      <c r="J105" s="2"/>
      <c r="K105" s="3">
        <f>290.01</f>
        <v>290.01</v>
      </c>
      <c r="L105" s="3">
        <f t="shared" si="57"/>
        <v>-290.01</v>
      </c>
      <c r="M105" s="4">
        <f t="shared" si="58"/>
        <v>0</v>
      </c>
      <c r="N105" s="2"/>
      <c r="O105" s="3">
        <f>290.01</f>
        <v>290.01</v>
      </c>
      <c r="P105" s="3">
        <f t="shared" si="59"/>
        <v>-290.01</v>
      </c>
      <c r="Q105" s="4">
        <f t="shared" si="60"/>
        <v>0</v>
      </c>
      <c r="R105" s="2"/>
      <c r="S105" s="3">
        <f>290.01</f>
        <v>290.01</v>
      </c>
      <c r="T105" s="3">
        <f t="shared" si="61"/>
        <v>-290.01</v>
      </c>
      <c r="U105" s="4">
        <f t="shared" si="62"/>
        <v>0</v>
      </c>
      <c r="V105" s="2"/>
      <c r="W105" s="3">
        <f>290.01</f>
        <v>290.01</v>
      </c>
      <c r="X105" s="3">
        <f t="shared" si="63"/>
        <v>-290.01</v>
      </c>
      <c r="Y105" s="4">
        <f t="shared" si="64"/>
        <v>0</v>
      </c>
      <c r="Z105" s="2"/>
      <c r="AA105" s="3">
        <f>290.01</f>
        <v>290.01</v>
      </c>
      <c r="AB105" s="3">
        <f t="shared" si="65"/>
        <v>-290.01</v>
      </c>
      <c r="AC105" s="4">
        <f t="shared" si="66"/>
        <v>0</v>
      </c>
      <c r="AD105" s="2"/>
      <c r="AE105" s="3">
        <f>290.01</f>
        <v>290.01</v>
      </c>
      <c r="AF105" s="3">
        <f t="shared" si="67"/>
        <v>-290.01</v>
      </c>
      <c r="AG105" s="4">
        <f t="shared" si="68"/>
        <v>0</v>
      </c>
      <c r="AH105" s="2"/>
      <c r="AI105" s="3">
        <f>290.01</f>
        <v>290.01</v>
      </c>
      <c r="AJ105" s="3">
        <f t="shared" si="69"/>
        <v>-290.01</v>
      </c>
      <c r="AK105" s="4">
        <f t="shared" si="70"/>
        <v>0</v>
      </c>
      <c r="AL105" s="2"/>
      <c r="AM105" s="3">
        <f>290.01</f>
        <v>290.01</v>
      </c>
      <c r="AN105" s="3">
        <f t="shared" si="71"/>
        <v>-290.01</v>
      </c>
      <c r="AO105" s="4">
        <f t="shared" si="72"/>
        <v>0</v>
      </c>
      <c r="AP105" s="2"/>
      <c r="AQ105" s="3">
        <f>290.01</f>
        <v>290.01</v>
      </c>
      <c r="AR105" s="3">
        <f t="shared" si="73"/>
        <v>-290.01</v>
      </c>
      <c r="AS105" s="4">
        <f t="shared" si="74"/>
        <v>0</v>
      </c>
      <c r="AT105" s="3">
        <f t="shared" si="75"/>
        <v>11.21</v>
      </c>
      <c r="AU105" s="3">
        <f t="shared" si="76"/>
        <v>3190.1100000000006</v>
      </c>
      <c r="AV105" s="3">
        <f t="shared" si="77"/>
        <v>-3178.9000000000005</v>
      </c>
      <c r="AW105" s="4">
        <f t="shared" si="78"/>
        <v>3.5139854111613704E-3</v>
      </c>
    </row>
    <row r="106" spans="1:49">
      <c r="A106" s="1" t="s">
        <v>118</v>
      </c>
      <c r="B106" s="3">
        <f>6.04</f>
        <v>6.04</v>
      </c>
      <c r="C106" s="3">
        <f>156.16</f>
        <v>156.16</v>
      </c>
      <c r="D106" s="3">
        <f t="shared" si="53"/>
        <v>-150.12</v>
      </c>
      <c r="E106" s="4">
        <f t="shared" si="54"/>
        <v>3.8678278688524588E-2</v>
      </c>
      <c r="F106" s="2"/>
      <c r="G106" s="3">
        <f>156.16</f>
        <v>156.16</v>
      </c>
      <c r="H106" s="3">
        <f t="shared" si="55"/>
        <v>-156.16</v>
      </c>
      <c r="I106" s="4">
        <f t="shared" si="56"/>
        <v>0</v>
      </c>
      <c r="J106" s="2"/>
      <c r="K106" s="3">
        <f>156.16</f>
        <v>156.16</v>
      </c>
      <c r="L106" s="3">
        <f t="shared" si="57"/>
        <v>-156.16</v>
      </c>
      <c r="M106" s="4">
        <f t="shared" si="58"/>
        <v>0</v>
      </c>
      <c r="N106" s="2"/>
      <c r="O106" s="3">
        <f>156.16</f>
        <v>156.16</v>
      </c>
      <c r="P106" s="3">
        <f t="shared" si="59"/>
        <v>-156.16</v>
      </c>
      <c r="Q106" s="4">
        <f t="shared" si="60"/>
        <v>0</v>
      </c>
      <c r="R106" s="2"/>
      <c r="S106" s="3">
        <f>156.16</f>
        <v>156.16</v>
      </c>
      <c r="T106" s="3">
        <f t="shared" si="61"/>
        <v>-156.16</v>
      </c>
      <c r="U106" s="4">
        <f t="shared" si="62"/>
        <v>0</v>
      </c>
      <c r="V106" s="2"/>
      <c r="W106" s="3">
        <f>156.16</f>
        <v>156.16</v>
      </c>
      <c r="X106" s="3">
        <f t="shared" si="63"/>
        <v>-156.16</v>
      </c>
      <c r="Y106" s="4">
        <f t="shared" si="64"/>
        <v>0</v>
      </c>
      <c r="Z106" s="2"/>
      <c r="AA106" s="3">
        <f>156.16</f>
        <v>156.16</v>
      </c>
      <c r="AB106" s="3">
        <f t="shared" si="65"/>
        <v>-156.16</v>
      </c>
      <c r="AC106" s="4">
        <f t="shared" si="66"/>
        <v>0</v>
      </c>
      <c r="AD106" s="2"/>
      <c r="AE106" s="3">
        <f>156.16</f>
        <v>156.16</v>
      </c>
      <c r="AF106" s="3">
        <f t="shared" si="67"/>
        <v>-156.16</v>
      </c>
      <c r="AG106" s="4">
        <f t="shared" si="68"/>
        <v>0</v>
      </c>
      <c r="AH106" s="2"/>
      <c r="AI106" s="3">
        <f>156.16</f>
        <v>156.16</v>
      </c>
      <c r="AJ106" s="3">
        <f t="shared" si="69"/>
        <v>-156.16</v>
      </c>
      <c r="AK106" s="4">
        <f t="shared" si="70"/>
        <v>0</v>
      </c>
      <c r="AL106" s="2"/>
      <c r="AM106" s="3">
        <f>156.16</f>
        <v>156.16</v>
      </c>
      <c r="AN106" s="3">
        <f t="shared" si="71"/>
        <v>-156.16</v>
      </c>
      <c r="AO106" s="4">
        <f t="shared" si="72"/>
        <v>0</v>
      </c>
      <c r="AP106" s="2"/>
      <c r="AQ106" s="3">
        <f>156.16</f>
        <v>156.16</v>
      </c>
      <c r="AR106" s="3">
        <f t="shared" si="73"/>
        <v>-156.16</v>
      </c>
      <c r="AS106" s="4">
        <f t="shared" si="74"/>
        <v>0</v>
      </c>
      <c r="AT106" s="3">
        <f t="shared" si="75"/>
        <v>6.04</v>
      </c>
      <c r="AU106" s="3">
        <f t="shared" si="76"/>
        <v>1717.7600000000002</v>
      </c>
      <c r="AV106" s="3">
        <f t="shared" si="77"/>
        <v>-1711.7200000000003</v>
      </c>
      <c r="AW106" s="4">
        <f t="shared" si="78"/>
        <v>3.5162071535022352E-3</v>
      </c>
    </row>
    <row r="107" spans="1:49">
      <c r="A107" s="1" t="s">
        <v>119</v>
      </c>
      <c r="B107" s="3">
        <f>0</f>
        <v>0</v>
      </c>
      <c r="C107" s="2"/>
      <c r="D107" s="3">
        <f t="shared" si="53"/>
        <v>0</v>
      </c>
      <c r="E107" s="4" t="str">
        <f t="shared" si="54"/>
        <v/>
      </c>
      <c r="F107" s="2"/>
      <c r="G107" s="2"/>
      <c r="H107" s="3">
        <f t="shared" si="55"/>
        <v>0</v>
      </c>
      <c r="I107" s="4" t="str">
        <f t="shared" si="56"/>
        <v/>
      </c>
      <c r="J107" s="2"/>
      <c r="K107" s="2"/>
      <c r="L107" s="3">
        <f t="shared" si="57"/>
        <v>0</v>
      </c>
      <c r="M107" s="4" t="str">
        <f t="shared" si="58"/>
        <v/>
      </c>
      <c r="N107" s="2"/>
      <c r="O107" s="2"/>
      <c r="P107" s="3">
        <f t="shared" si="59"/>
        <v>0</v>
      </c>
      <c r="Q107" s="4" t="str">
        <f t="shared" si="60"/>
        <v/>
      </c>
      <c r="R107" s="2"/>
      <c r="S107" s="2"/>
      <c r="T107" s="3">
        <f t="shared" si="61"/>
        <v>0</v>
      </c>
      <c r="U107" s="4" t="str">
        <f t="shared" si="62"/>
        <v/>
      </c>
      <c r="V107" s="2"/>
      <c r="W107" s="2"/>
      <c r="X107" s="3">
        <f t="shared" si="63"/>
        <v>0</v>
      </c>
      <c r="Y107" s="4" t="str">
        <f t="shared" si="64"/>
        <v/>
      </c>
      <c r="Z107" s="2"/>
      <c r="AA107" s="2"/>
      <c r="AB107" s="3">
        <f t="shared" si="65"/>
        <v>0</v>
      </c>
      <c r="AC107" s="4" t="str">
        <f t="shared" si="66"/>
        <v/>
      </c>
      <c r="AD107" s="2"/>
      <c r="AE107" s="2"/>
      <c r="AF107" s="3">
        <f t="shared" si="67"/>
        <v>0</v>
      </c>
      <c r="AG107" s="4" t="str">
        <f t="shared" si="68"/>
        <v/>
      </c>
      <c r="AH107" s="2"/>
      <c r="AI107" s="2"/>
      <c r="AJ107" s="3">
        <f t="shared" si="69"/>
        <v>0</v>
      </c>
      <c r="AK107" s="4" t="str">
        <f t="shared" si="70"/>
        <v/>
      </c>
      <c r="AL107" s="2"/>
      <c r="AM107" s="2"/>
      <c r="AN107" s="3">
        <f t="shared" si="71"/>
        <v>0</v>
      </c>
      <c r="AO107" s="4" t="str">
        <f t="shared" si="72"/>
        <v/>
      </c>
      <c r="AP107" s="2"/>
      <c r="AQ107" s="2"/>
      <c r="AR107" s="3">
        <f t="shared" si="73"/>
        <v>0</v>
      </c>
      <c r="AS107" s="4" t="str">
        <f t="shared" si="74"/>
        <v/>
      </c>
      <c r="AT107" s="3">
        <f t="shared" si="75"/>
        <v>0</v>
      </c>
      <c r="AU107" s="3">
        <f t="shared" si="76"/>
        <v>0</v>
      </c>
      <c r="AV107" s="3">
        <f t="shared" si="77"/>
        <v>0</v>
      </c>
      <c r="AW107" s="4" t="str">
        <f t="shared" si="78"/>
        <v/>
      </c>
    </row>
    <row r="108" spans="1:49">
      <c r="A108" s="1" t="s">
        <v>120</v>
      </c>
      <c r="B108" s="5">
        <f>(((B104)+(B105))+(B106))+(B107)</f>
        <v>17.25</v>
      </c>
      <c r="C108" s="5">
        <f>(((C104)+(C105))+(C106))+(C107)</f>
        <v>446.16999999999996</v>
      </c>
      <c r="D108" s="5">
        <f t="shared" si="53"/>
        <v>-428.91999999999996</v>
      </c>
      <c r="E108" s="6">
        <f t="shared" si="54"/>
        <v>3.8662393258175137E-2</v>
      </c>
      <c r="F108" s="5">
        <f>(((F104)+(F105))+(F106))+(F107)</f>
        <v>0</v>
      </c>
      <c r="G108" s="5">
        <f>(((G104)+(G105))+(G106))+(G107)</f>
        <v>446.16999999999996</v>
      </c>
      <c r="H108" s="5">
        <f t="shared" si="55"/>
        <v>-446.16999999999996</v>
      </c>
      <c r="I108" s="6">
        <f t="shared" si="56"/>
        <v>0</v>
      </c>
      <c r="J108" s="5">
        <f>(((J104)+(J105))+(J106))+(J107)</f>
        <v>0</v>
      </c>
      <c r="K108" s="5">
        <f>(((K104)+(K105))+(K106))+(K107)</f>
        <v>446.16999999999996</v>
      </c>
      <c r="L108" s="5">
        <f t="shared" si="57"/>
        <v>-446.16999999999996</v>
      </c>
      <c r="M108" s="6">
        <f t="shared" si="58"/>
        <v>0</v>
      </c>
      <c r="N108" s="5">
        <f>(((N104)+(N105))+(N106))+(N107)</f>
        <v>0</v>
      </c>
      <c r="O108" s="5">
        <f>(((O104)+(O105))+(O106))+(O107)</f>
        <v>446.16999999999996</v>
      </c>
      <c r="P108" s="5">
        <f t="shared" si="59"/>
        <v>-446.16999999999996</v>
      </c>
      <c r="Q108" s="6">
        <f t="shared" si="60"/>
        <v>0</v>
      </c>
      <c r="R108" s="5">
        <f>(((R104)+(R105))+(R106))+(R107)</f>
        <v>0</v>
      </c>
      <c r="S108" s="5">
        <f>(((S104)+(S105))+(S106))+(S107)</f>
        <v>446.16999999999996</v>
      </c>
      <c r="T108" s="5">
        <f t="shared" si="61"/>
        <v>-446.16999999999996</v>
      </c>
      <c r="U108" s="6">
        <f t="shared" si="62"/>
        <v>0</v>
      </c>
      <c r="V108" s="5">
        <f>(((V104)+(V105))+(V106))+(V107)</f>
        <v>0</v>
      </c>
      <c r="W108" s="5">
        <f>(((W104)+(W105))+(W106))+(W107)</f>
        <v>446.16999999999996</v>
      </c>
      <c r="X108" s="5">
        <f t="shared" si="63"/>
        <v>-446.16999999999996</v>
      </c>
      <c r="Y108" s="6">
        <f t="shared" si="64"/>
        <v>0</v>
      </c>
      <c r="Z108" s="5">
        <f>(((Z104)+(Z105))+(Z106))+(Z107)</f>
        <v>0</v>
      </c>
      <c r="AA108" s="5">
        <f>(((AA104)+(AA105))+(AA106))+(AA107)</f>
        <v>446.16999999999996</v>
      </c>
      <c r="AB108" s="5">
        <f t="shared" si="65"/>
        <v>-446.16999999999996</v>
      </c>
      <c r="AC108" s="6">
        <f t="shared" si="66"/>
        <v>0</v>
      </c>
      <c r="AD108" s="5">
        <f>(((AD104)+(AD105))+(AD106))+(AD107)</f>
        <v>0</v>
      </c>
      <c r="AE108" s="5">
        <f>(((AE104)+(AE105))+(AE106))+(AE107)</f>
        <v>446.16999999999996</v>
      </c>
      <c r="AF108" s="5">
        <f t="shared" si="67"/>
        <v>-446.16999999999996</v>
      </c>
      <c r="AG108" s="6">
        <f t="shared" si="68"/>
        <v>0</v>
      </c>
      <c r="AH108" s="5">
        <f>(((AH104)+(AH105))+(AH106))+(AH107)</f>
        <v>0</v>
      </c>
      <c r="AI108" s="5">
        <f>(((AI104)+(AI105))+(AI106))+(AI107)</f>
        <v>446.16999999999996</v>
      </c>
      <c r="AJ108" s="5">
        <f t="shared" si="69"/>
        <v>-446.16999999999996</v>
      </c>
      <c r="AK108" s="6">
        <f t="shared" si="70"/>
        <v>0</v>
      </c>
      <c r="AL108" s="5">
        <f>(((AL104)+(AL105))+(AL106))+(AL107)</f>
        <v>0</v>
      </c>
      <c r="AM108" s="5">
        <f>(((AM104)+(AM105))+(AM106))+(AM107)</f>
        <v>446.16999999999996</v>
      </c>
      <c r="AN108" s="5">
        <f t="shared" si="71"/>
        <v>-446.16999999999996</v>
      </c>
      <c r="AO108" s="6">
        <f t="shared" si="72"/>
        <v>0</v>
      </c>
      <c r="AP108" s="5">
        <f>(((AP104)+(AP105))+(AP106))+(AP107)</f>
        <v>0</v>
      </c>
      <c r="AQ108" s="5">
        <f>(((AQ104)+(AQ105))+(AQ106))+(AQ107)</f>
        <v>446.16999999999996</v>
      </c>
      <c r="AR108" s="5">
        <f t="shared" si="73"/>
        <v>-446.16999999999996</v>
      </c>
      <c r="AS108" s="6">
        <f t="shared" si="74"/>
        <v>0</v>
      </c>
      <c r="AT108" s="5">
        <f t="shared" si="75"/>
        <v>17.25</v>
      </c>
      <c r="AU108" s="5">
        <f t="shared" si="76"/>
        <v>4907.87</v>
      </c>
      <c r="AV108" s="5">
        <f t="shared" si="77"/>
        <v>-4890.62</v>
      </c>
      <c r="AW108" s="6">
        <f t="shared" si="78"/>
        <v>3.5147630234704671E-3</v>
      </c>
    </row>
    <row r="109" spans="1:49">
      <c r="A109" s="1" t="s">
        <v>121</v>
      </c>
      <c r="B109" s="2"/>
      <c r="C109" s="2"/>
      <c r="D109" s="3">
        <f t="shared" si="53"/>
        <v>0</v>
      </c>
      <c r="E109" s="4" t="str">
        <f t="shared" si="54"/>
        <v/>
      </c>
      <c r="F109" s="2"/>
      <c r="G109" s="2"/>
      <c r="H109" s="3">
        <f t="shared" si="55"/>
        <v>0</v>
      </c>
      <c r="I109" s="4" t="str">
        <f t="shared" si="56"/>
        <v/>
      </c>
      <c r="J109" s="2"/>
      <c r="K109" s="2"/>
      <c r="L109" s="3">
        <f t="shared" si="57"/>
        <v>0</v>
      </c>
      <c r="M109" s="4" t="str">
        <f t="shared" si="58"/>
        <v/>
      </c>
      <c r="N109" s="2"/>
      <c r="O109" s="2"/>
      <c r="P109" s="3">
        <f t="shared" si="59"/>
        <v>0</v>
      </c>
      <c r="Q109" s="4" t="str">
        <f t="shared" si="60"/>
        <v/>
      </c>
      <c r="R109" s="2"/>
      <c r="S109" s="2"/>
      <c r="T109" s="3">
        <f t="shared" si="61"/>
        <v>0</v>
      </c>
      <c r="U109" s="4" t="str">
        <f t="shared" si="62"/>
        <v/>
      </c>
      <c r="V109" s="2"/>
      <c r="W109" s="2"/>
      <c r="X109" s="3">
        <f t="shared" si="63"/>
        <v>0</v>
      </c>
      <c r="Y109" s="4" t="str">
        <f t="shared" si="64"/>
        <v/>
      </c>
      <c r="Z109" s="2"/>
      <c r="AA109" s="2"/>
      <c r="AB109" s="3">
        <f t="shared" si="65"/>
        <v>0</v>
      </c>
      <c r="AC109" s="4" t="str">
        <f t="shared" si="66"/>
        <v/>
      </c>
      <c r="AD109" s="2"/>
      <c r="AE109" s="2"/>
      <c r="AF109" s="3">
        <f t="shared" si="67"/>
        <v>0</v>
      </c>
      <c r="AG109" s="4" t="str">
        <f t="shared" si="68"/>
        <v/>
      </c>
      <c r="AH109" s="2"/>
      <c r="AI109" s="2"/>
      <c r="AJ109" s="3">
        <f t="shared" si="69"/>
        <v>0</v>
      </c>
      <c r="AK109" s="4" t="str">
        <f t="shared" si="70"/>
        <v/>
      </c>
      <c r="AL109" s="2"/>
      <c r="AM109" s="2"/>
      <c r="AN109" s="3">
        <f t="shared" si="71"/>
        <v>0</v>
      </c>
      <c r="AO109" s="4" t="str">
        <f t="shared" si="72"/>
        <v/>
      </c>
      <c r="AP109" s="2"/>
      <c r="AQ109" s="2"/>
      <c r="AR109" s="3">
        <f t="shared" si="73"/>
        <v>0</v>
      </c>
      <c r="AS109" s="4" t="str">
        <f t="shared" si="74"/>
        <v/>
      </c>
      <c r="AT109" s="3">
        <f t="shared" si="75"/>
        <v>0</v>
      </c>
      <c r="AU109" s="3">
        <f t="shared" si="76"/>
        <v>0</v>
      </c>
      <c r="AV109" s="3">
        <f t="shared" si="77"/>
        <v>0</v>
      </c>
      <c r="AW109" s="4" t="str">
        <f t="shared" si="78"/>
        <v/>
      </c>
    </row>
    <row r="110" spans="1:49">
      <c r="A110" s="1" t="s">
        <v>122</v>
      </c>
      <c r="B110" s="2"/>
      <c r="C110" s="3">
        <f>833.08</f>
        <v>833.08</v>
      </c>
      <c r="D110" s="3">
        <f t="shared" ref="D110:D141" si="79">(B110)-(C110)</f>
        <v>-833.08</v>
      </c>
      <c r="E110" s="4">
        <f t="shared" ref="E110:E126" si="80">IF(C110=0,"",(B110)/(C110))</f>
        <v>0</v>
      </c>
      <c r="F110" s="2"/>
      <c r="G110" s="3">
        <f>833.08</f>
        <v>833.08</v>
      </c>
      <c r="H110" s="3">
        <f t="shared" ref="H110:H141" si="81">(F110)-(G110)</f>
        <v>-833.08</v>
      </c>
      <c r="I110" s="4">
        <f t="shared" ref="I110:I126" si="82">IF(G110=0,"",(F110)/(G110))</f>
        <v>0</v>
      </c>
      <c r="J110" s="2"/>
      <c r="K110" s="3">
        <f>833.08</f>
        <v>833.08</v>
      </c>
      <c r="L110" s="3">
        <f t="shared" ref="L110:L141" si="83">(J110)-(K110)</f>
        <v>-833.08</v>
      </c>
      <c r="M110" s="4">
        <f t="shared" ref="M110:M126" si="84">IF(K110=0,"",(J110)/(K110))</f>
        <v>0</v>
      </c>
      <c r="N110" s="2"/>
      <c r="O110" s="3">
        <f>833.08</f>
        <v>833.08</v>
      </c>
      <c r="P110" s="3">
        <f t="shared" ref="P110:P141" si="85">(N110)-(O110)</f>
        <v>-833.08</v>
      </c>
      <c r="Q110" s="4">
        <f t="shared" ref="Q110:Q126" si="86">IF(O110=0,"",(N110)/(O110))</f>
        <v>0</v>
      </c>
      <c r="R110" s="2"/>
      <c r="S110" s="3">
        <f>833.08</f>
        <v>833.08</v>
      </c>
      <c r="T110" s="3">
        <f t="shared" ref="T110:T141" si="87">(R110)-(S110)</f>
        <v>-833.08</v>
      </c>
      <c r="U110" s="4">
        <f t="shared" ref="U110:U126" si="88">IF(S110=0,"",(R110)/(S110))</f>
        <v>0</v>
      </c>
      <c r="V110" s="2"/>
      <c r="W110" s="3">
        <f>833.08</f>
        <v>833.08</v>
      </c>
      <c r="X110" s="3">
        <f t="shared" ref="X110:X141" si="89">(V110)-(W110)</f>
        <v>-833.08</v>
      </c>
      <c r="Y110" s="4">
        <f t="shared" ref="Y110:Y126" si="90">IF(W110=0,"",(V110)/(W110))</f>
        <v>0</v>
      </c>
      <c r="Z110" s="2"/>
      <c r="AA110" s="3">
        <f>833.08</f>
        <v>833.08</v>
      </c>
      <c r="AB110" s="3">
        <f t="shared" ref="AB110:AB141" si="91">(Z110)-(AA110)</f>
        <v>-833.08</v>
      </c>
      <c r="AC110" s="4">
        <f t="shared" ref="AC110:AC126" si="92">IF(AA110=0,"",(Z110)/(AA110))</f>
        <v>0</v>
      </c>
      <c r="AD110" s="2"/>
      <c r="AE110" s="3">
        <f>833.08</f>
        <v>833.08</v>
      </c>
      <c r="AF110" s="3">
        <f t="shared" ref="AF110:AF141" si="93">(AD110)-(AE110)</f>
        <v>-833.08</v>
      </c>
      <c r="AG110" s="4">
        <f t="shared" ref="AG110:AG126" si="94">IF(AE110=0,"",(AD110)/(AE110))</f>
        <v>0</v>
      </c>
      <c r="AH110" s="3">
        <f>562.05</f>
        <v>562.04999999999995</v>
      </c>
      <c r="AI110" s="3">
        <f>833.08</f>
        <v>833.08</v>
      </c>
      <c r="AJ110" s="3">
        <f t="shared" ref="AJ110:AJ141" si="95">(AH110)-(AI110)</f>
        <v>-271.03000000000009</v>
      </c>
      <c r="AK110" s="4">
        <f t="shared" ref="AK110:AK126" si="96">IF(AI110=0,"",(AH110)/(AI110))</f>
        <v>0.67466509818984965</v>
      </c>
      <c r="AL110" s="3">
        <f>0</f>
        <v>0</v>
      </c>
      <c r="AM110" s="3">
        <f>833.08</f>
        <v>833.08</v>
      </c>
      <c r="AN110" s="3">
        <f t="shared" ref="AN110:AN141" si="97">(AL110)-(AM110)</f>
        <v>-833.08</v>
      </c>
      <c r="AO110" s="4">
        <f t="shared" ref="AO110:AO126" si="98">IF(AM110=0,"",(AL110)/(AM110))</f>
        <v>0</v>
      </c>
      <c r="AP110" s="3">
        <f>0</f>
        <v>0</v>
      </c>
      <c r="AQ110" s="3">
        <f>833.08</f>
        <v>833.08</v>
      </c>
      <c r="AR110" s="3">
        <f t="shared" ref="AR110:AR141" si="99">(AP110)-(AQ110)</f>
        <v>-833.08</v>
      </c>
      <c r="AS110" s="4">
        <f t="shared" ref="AS110:AS126" si="100">IF(AQ110=0,"",(AP110)/(AQ110))</f>
        <v>0</v>
      </c>
      <c r="AT110" s="3">
        <f t="shared" ref="AT110:AT126" si="101">((((((((((B110)+(F110))+(J110))+(N110))+(R110))+(V110))+(Z110))+(AD110))+(AH110))+(AL110))+(AP110)</f>
        <v>562.04999999999995</v>
      </c>
      <c r="AU110" s="3">
        <f t="shared" ref="AU110:AU126" si="102">((((((((((C110)+(G110))+(K110))+(O110))+(S110))+(W110))+(AA110))+(AE110))+(AI110))+(AM110))+(AQ110)</f>
        <v>9163.880000000001</v>
      </c>
      <c r="AV110" s="3">
        <f t="shared" ref="AV110:AV141" si="103">(AT110)-(AU110)</f>
        <v>-8601.8300000000017</v>
      </c>
      <c r="AW110" s="4">
        <f t="shared" ref="AW110:AW126" si="104">IF(AU110=0,"",(AT110)/(AU110))</f>
        <v>6.1333190744531779E-2</v>
      </c>
    </row>
    <row r="111" spans="1:49">
      <c r="A111" s="1" t="s">
        <v>123</v>
      </c>
      <c r="B111" s="2"/>
      <c r="C111" s="3">
        <f>448.58</f>
        <v>448.58</v>
      </c>
      <c r="D111" s="3">
        <f t="shared" si="79"/>
        <v>-448.58</v>
      </c>
      <c r="E111" s="4">
        <f t="shared" si="80"/>
        <v>0</v>
      </c>
      <c r="F111" s="2"/>
      <c r="G111" s="3">
        <f>448.58</f>
        <v>448.58</v>
      </c>
      <c r="H111" s="3">
        <f t="shared" si="81"/>
        <v>-448.58</v>
      </c>
      <c r="I111" s="4">
        <f t="shared" si="82"/>
        <v>0</v>
      </c>
      <c r="J111" s="2"/>
      <c r="K111" s="3">
        <f>448.58</f>
        <v>448.58</v>
      </c>
      <c r="L111" s="3">
        <f t="shared" si="83"/>
        <v>-448.58</v>
      </c>
      <c r="M111" s="4">
        <f t="shared" si="84"/>
        <v>0</v>
      </c>
      <c r="N111" s="2"/>
      <c r="O111" s="3">
        <f>448.58</f>
        <v>448.58</v>
      </c>
      <c r="P111" s="3">
        <f t="shared" si="85"/>
        <v>-448.58</v>
      </c>
      <c r="Q111" s="4">
        <f t="shared" si="86"/>
        <v>0</v>
      </c>
      <c r="R111" s="2"/>
      <c r="S111" s="3">
        <f>448.58</f>
        <v>448.58</v>
      </c>
      <c r="T111" s="3">
        <f t="shared" si="87"/>
        <v>-448.58</v>
      </c>
      <c r="U111" s="4">
        <f t="shared" si="88"/>
        <v>0</v>
      </c>
      <c r="V111" s="2"/>
      <c r="W111" s="3">
        <f>448.58</f>
        <v>448.58</v>
      </c>
      <c r="X111" s="3">
        <f t="shared" si="89"/>
        <v>-448.58</v>
      </c>
      <c r="Y111" s="4">
        <f t="shared" si="90"/>
        <v>0</v>
      </c>
      <c r="Z111" s="2"/>
      <c r="AA111" s="3">
        <f>448.58</f>
        <v>448.58</v>
      </c>
      <c r="AB111" s="3">
        <f t="shared" si="91"/>
        <v>-448.58</v>
      </c>
      <c r="AC111" s="4">
        <f t="shared" si="92"/>
        <v>0</v>
      </c>
      <c r="AD111" s="2"/>
      <c r="AE111" s="3">
        <f>448.58</f>
        <v>448.58</v>
      </c>
      <c r="AF111" s="3">
        <f t="shared" si="93"/>
        <v>-448.58</v>
      </c>
      <c r="AG111" s="4">
        <f t="shared" si="94"/>
        <v>0</v>
      </c>
      <c r="AH111" s="3">
        <f>302.64</f>
        <v>302.64</v>
      </c>
      <c r="AI111" s="3">
        <f>448.58</f>
        <v>448.58</v>
      </c>
      <c r="AJ111" s="3">
        <f t="shared" si="95"/>
        <v>-145.94</v>
      </c>
      <c r="AK111" s="4">
        <f t="shared" si="96"/>
        <v>0.67466226759998216</v>
      </c>
      <c r="AL111" s="3">
        <f>0</f>
        <v>0</v>
      </c>
      <c r="AM111" s="3">
        <f>448.58</f>
        <v>448.58</v>
      </c>
      <c r="AN111" s="3">
        <f t="shared" si="97"/>
        <v>-448.58</v>
      </c>
      <c r="AO111" s="4">
        <f t="shared" si="98"/>
        <v>0</v>
      </c>
      <c r="AP111" s="3">
        <f>0</f>
        <v>0</v>
      </c>
      <c r="AQ111" s="3">
        <f>448.58</f>
        <v>448.58</v>
      </c>
      <c r="AR111" s="3">
        <f t="shared" si="99"/>
        <v>-448.58</v>
      </c>
      <c r="AS111" s="4">
        <f t="shared" si="100"/>
        <v>0</v>
      </c>
      <c r="AT111" s="3">
        <f t="shared" si="101"/>
        <v>302.64</v>
      </c>
      <c r="AU111" s="3">
        <f t="shared" si="102"/>
        <v>4934.38</v>
      </c>
      <c r="AV111" s="3">
        <f t="shared" si="103"/>
        <v>-4631.74</v>
      </c>
      <c r="AW111" s="4">
        <f t="shared" si="104"/>
        <v>6.1332933418180191E-2</v>
      </c>
    </row>
    <row r="112" spans="1:49">
      <c r="A112" s="1" t="s">
        <v>124</v>
      </c>
      <c r="B112" s="2"/>
      <c r="C112" s="2"/>
      <c r="D112" s="3">
        <f t="shared" si="79"/>
        <v>0</v>
      </c>
      <c r="E112" s="4" t="str">
        <f t="shared" si="80"/>
        <v/>
      </c>
      <c r="F112" s="2"/>
      <c r="G112" s="2"/>
      <c r="H112" s="3">
        <f t="shared" si="81"/>
        <v>0</v>
      </c>
      <c r="I112" s="4" t="str">
        <f t="shared" si="82"/>
        <v/>
      </c>
      <c r="J112" s="2"/>
      <c r="K112" s="2"/>
      <c r="L112" s="3">
        <f t="shared" si="83"/>
        <v>0</v>
      </c>
      <c r="M112" s="4" t="str">
        <f t="shared" si="84"/>
        <v/>
      </c>
      <c r="N112" s="2"/>
      <c r="O112" s="2"/>
      <c r="P112" s="3">
        <f t="shared" si="85"/>
        <v>0</v>
      </c>
      <c r="Q112" s="4" t="str">
        <f t="shared" si="86"/>
        <v/>
      </c>
      <c r="R112" s="2"/>
      <c r="S112" s="2"/>
      <c r="T112" s="3">
        <f t="shared" si="87"/>
        <v>0</v>
      </c>
      <c r="U112" s="4" t="str">
        <f t="shared" si="88"/>
        <v/>
      </c>
      <c r="V112" s="2"/>
      <c r="W112" s="2"/>
      <c r="X112" s="3">
        <f t="shared" si="89"/>
        <v>0</v>
      </c>
      <c r="Y112" s="4" t="str">
        <f t="shared" si="90"/>
        <v/>
      </c>
      <c r="Z112" s="2"/>
      <c r="AA112" s="2"/>
      <c r="AB112" s="3">
        <f t="shared" si="91"/>
        <v>0</v>
      </c>
      <c r="AC112" s="4" t="str">
        <f t="shared" si="92"/>
        <v/>
      </c>
      <c r="AD112" s="2"/>
      <c r="AE112" s="2"/>
      <c r="AF112" s="3">
        <f t="shared" si="93"/>
        <v>0</v>
      </c>
      <c r="AG112" s="4" t="str">
        <f t="shared" si="94"/>
        <v/>
      </c>
      <c r="AH112" s="3">
        <f>0</f>
        <v>0</v>
      </c>
      <c r="AI112" s="2"/>
      <c r="AJ112" s="3">
        <f t="shared" si="95"/>
        <v>0</v>
      </c>
      <c r="AK112" s="4" t="str">
        <f t="shared" si="96"/>
        <v/>
      </c>
      <c r="AL112" s="3">
        <f>0</f>
        <v>0</v>
      </c>
      <c r="AM112" s="2"/>
      <c r="AN112" s="3">
        <f t="shared" si="97"/>
        <v>0</v>
      </c>
      <c r="AO112" s="4" t="str">
        <f t="shared" si="98"/>
        <v/>
      </c>
      <c r="AP112" s="3">
        <f>0</f>
        <v>0</v>
      </c>
      <c r="AQ112" s="2"/>
      <c r="AR112" s="3">
        <f t="shared" si="99"/>
        <v>0</v>
      </c>
      <c r="AS112" s="4" t="str">
        <f t="shared" si="100"/>
        <v/>
      </c>
      <c r="AT112" s="3">
        <f t="shared" si="101"/>
        <v>0</v>
      </c>
      <c r="AU112" s="3">
        <f t="shared" si="102"/>
        <v>0</v>
      </c>
      <c r="AV112" s="3">
        <f t="shared" si="103"/>
        <v>0</v>
      </c>
      <c r="AW112" s="4" t="str">
        <f t="shared" si="104"/>
        <v/>
      </c>
    </row>
    <row r="113" spans="1:49">
      <c r="A113" s="1" t="s">
        <v>125</v>
      </c>
      <c r="B113" s="5">
        <f>(((B109)+(B110))+(B111))+(B112)</f>
        <v>0</v>
      </c>
      <c r="C113" s="5">
        <f>(((C109)+(C110))+(C111))+(C112)</f>
        <v>1281.6600000000001</v>
      </c>
      <c r="D113" s="5">
        <f t="shared" si="79"/>
        <v>-1281.6600000000001</v>
      </c>
      <c r="E113" s="6">
        <f t="shared" si="80"/>
        <v>0</v>
      </c>
      <c r="F113" s="5">
        <f>(((F109)+(F110))+(F111))+(F112)</f>
        <v>0</v>
      </c>
      <c r="G113" s="5">
        <f>(((G109)+(G110))+(G111))+(G112)</f>
        <v>1281.6600000000001</v>
      </c>
      <c r="H113" s="5">
        <f t="shared" si="81"/>
        <v>-1281.6600000000001</v>
      </c>
      <c r="I113" s="6">
        <f t="shared" si="82"/>
        <v>0</v>
      </c>
      <c r="J113" s="5">
        <f>(((J109)+(J110))+(J111))+(J112)</f>
        <v>0</v>
      </c>
      <c r="K113" s="5">
        <f>(((K109)+(K110))+(K111))+(K112)</f>
        <v>1281.6600000000001</v>
      </c>
      <c r="L113" s="5">
        <f t="shared" si="83"/>
        <v>-1281.6600000000001</v>
      </c>
      <c r="M113" s="6">
        <f t="shared" si="84"/>
        <v>0</v>
      </c>
      <c r="N113" s="5">
        <f>(((N109)+(N110))+(N111))+(N112)</f>
        <v>0</v>
      </c>
      <c r="O113" s="5">
        <f>(((O109)+(O110))+(O111))+(O112)</f>
        <v>1281.6600000000001</v>
      </c>
      <c r="P113" s="5">
        <f t="shared" si="85"/>
        <v>-1281.6600000000001</v>
      </c>
      <c r="Q113" s="6">
        <f t="shared" si="86"/>
        <v>0</v>
      </c>
      <c r="R113" s="5">
        <f>(((R109)+(R110))+(R111))+(R112)</f>
        <v>0</v>
      </c>
      <c r="S113" s="5">
        <f>(((S109)+(S110))+(S111))+(S112)</f>
        <v>1281.6600000000001</v>
      </c>
      <c r="T113" s="5">
        <f t="shared" si="87"/>
        <v>-1281.6600000000001</v>
      </c>
      <c r="U113" s="6">
        <f t="shared" si="88"/>
        <v>0</v>
      </c>
      <c r="V113" s="5">
        <f>(((V109)+(V110))+(V111))+(V112)</f>
        <v>0</v>
      </c>
      <c r="W113" s="5">
        <f>(((W109)+(W110))+(W111))+(W112)</f>
        <v>1281.6600000000001</v>
      </c>
      <c r="X113" s="5">
        <f t="shared" si="89"/>
        <v>-1281.6600000000001</v>
      </c>
      <c r="Y113" s="6">
        <f t="shared" si="90"/>
        <v>0</v>
      </c>
      <c r="Z113" s="5">
        <f>(((Z109)+(Z110))+(Z111))+(Z112)</f>
        <v>0</v>
      </c>
      <c r="AA113" s="5">
        <f>(((AA109)+(AA110))+(AA111))+(AA112)</f>
        <v>1281.6600000000001</v>
      </c>
      <c r="AB113" s="5">
        <f t="shared" si="91"/>
        <v>-1281.6600000000001</v>
      </c>
      <c r="AC113" s="6">
        <f t="shared" si="92"/>
        <v>0</v>
      </c>
      <c r="AD113" s="5">
        <f>(((AD109)+(AD110))+(AD111))+(AD112)</f>
        <v>0</v>
      </c>
      <c r="AE113" s="5">
        <f>(((AE109)+(AE110))+(AE111))+(AE112)</f>
        <v>1281.6600000000001</v>
      </c>
      <c r="AF113" s="5">
        <f t="shared" si="93"/>
        <v>-1281.6600000000001</v>
      </c>
      <c r="AG113" s="6">
        <f t="shared" si="94"/>
        <v>0</v>
      </c>
      <c r="AH113" s="5">
        <f>(((AH109)+(AH110))+(AH111))+(AH112)</f>
        <v>864.68999999999994</v>
      </c>
      <c r="AI113" s="5">
        <f>(((AI109)+(AI110))+(AI111))+(AI112)</f>
        <v>1281.6600000000001</v>
      </c>
      <c r="AJ113" s="5">
        <f t="shared" si="95"/>
        <v>-416.97000000000014</v>
      </c>
      <c r="AK113" s="6">
        <f t="shared" si="96"/>
        <v>0.67466410748560457</v>
      </c>
      <c r="AL113" s="5">
        <f>(((AL109)+(AL110))+(AL111))+(AL112)</f>
        <v>0</v>
      </c>
      <c r="AM113" s="5">
        <f>(((AM109)+(AM110))+(AM111))+(AM112)</f>
        <v>1281.6600000000001</v>
      </c>
      <c r="AN113" s="5">
        <f t="shared" si="97"/>
        <v>-1281.6600000000001</v>
      </c>
      <c r="AO113" s="6">
        <f t="shared" si="98"/>
        <v>0</v>
      </c>
      <c r="AP113" s="5">
        <f>(((AP109)+(AP110))+(AP111))+(AP112)</f>
        <v>0</v>
      </c>
      <c r="AQ113" s="5">
        <f>(((AQ109)+(AQ110))+(AQ111))+(AQ112)</f>
        <v>1281.6600000000001</v>
      </c>
      <c r="AR113" s="5">
        <f t="shared" si="99"/>
        <v>-1281.6600000000001</v>
      </c>
      <c r="AS113" s="6">
        <f t="shared" si="100"/>
        <v>0</v>
      </c>
      <c r="AT113" s="5">
        <f t="shared" si="101"/>
        <v>864.68999999999994</v>
      </c>
      <c r="AU113" s="5">
        <f t="shared" si="102"/>
        <v>14098.26</v>
      </c>
      <c r="AV113" s="5">
        <f t="shared" si="103"/>
        <v>-13233.57</v>
      </c>
      <c r="AW113" s="6">
        <f t="shared" si="104"/>
        <v>6.1333100680509504E-2</v>
      </c>
    </row>
    <row r="114" spans="1:49">
      <c r="A114" s="1" t="s">
        <v>126</v>
      </c>
      <c r="B114" s="2"/>
      <c r="C114" s="2"/>
      <c r="D114" s="3">
        <f t="shared" si="79"/>
        <v>0</v>
      </c>
      <c r="E114" s="4" t="str">
        <f t="shared" si="80"/>
        <v/>
      </c>
      <c r="F114" s="2"/>
      <c r="G114" s="2"/>
      <c r="H114" s="3">
        <f t="shared" si="81"/>
        <v>0</v>
      </c>
      <c r="I114" s="4" t="str">
        <f t="shared" si="82"/>
        <v/>
      </c>
      <c r="J114" s="2"/>
      <c r="K114" s="2"/>
      <c r="L114" s="3">
        <f t="shared" si="83"/>
        <v>0</v>
      </c>
      <c r="M114" s="4" t="str">
        <f t="shared" si="84"/>
        <v/>
      </c>
      <c r="N114" s="2"/>
      <c r="O114" s="2"/>
      <c r="P114" s="3">
        <f t="shared" si="85"/>
        <v>0</v>
      </c>
      <c r="Q114" s="4" t="str">
        <f t="shared" si="86"/>
        <v/>
      </c>
      <c r="R114" s="2"/>
      <c r="S114" s="2"/>
      <c r="T114" s="3">
        <f t="shared" si="87"/>
        <v>0</v>
      </c>
      <c r="U114" s="4" t="str">
        <f t="shared" si="88"/>
        <v/>
      </c>
      <c r="V114" s="2"/>
      <c r="W114" s="2"/>
      <c r="X114" s="3">
        <f t="shared" si="89"/>
        <v>0</v>
      </c>
      <c r="Y114" s="4" t="str">
        <f t="shared" si="90"/>
        <v/>
      </c>
      <c r="Z114" s="2"/>
      <c r="AA114" s="2"/>
      <c r="AB114" s="3">
        <f t="shared" si="91"/>
        <v>0</v>
      </c>
      <c r="AC114" s="4" t="str">
        <f t="shared" si="92"/>
        <v/>
      </c>
      <c r="AD114" s="2"/>
      <c r="AE114" s="2"/>
      <c r="AF114" s="3">
        <f t="shared" si="93"/>
        <v>0</v>
      </c>
      <c r="AG114" s="4" t="str">
        <f t="shared" si="94"/>
        <v/>
      </c>
      <c r="AH114" s="2"/>
      <c r="AI114" s="2"/>
      <c r="AJ114" s="3">
        <f t="shared" si="95"/>
        <v>0</v>
      </c>
      <c r="AK114" s="4" t="str">
        <f t="shared" si="96"/>
        <v/>
      </c>
      <c r="AL114" s="2"/>
      <c r="AM114" s="2"/>
      <c r="AN114" s="3">
        <f t="shared" si="97"/>
        <v>0</v>
      </c>
      <c r="AO114" s="4" t="str">
        <f t="shared" si="98"/>
        <v/>
      </c>
      <c r="AP114" s="2"/>
      <c r="AQ114" s="2"/>
      <c r="AR114" s="3">
        <f t="shared" si="99"/>
        <v>0</v>
      </c>
      <c r="AS114" s="4" t="str">
        <f t="shared" si="100"/>
        <v/>
      </c>
      <c r="AT114" s="3">
        <f t="shared" si="101"/>
        <v>0</v>
      </c>
      <c r="AU114" s="3">
        <f t="shared" si="102"/>
        <v>0</v>
      </c>
      <c r="AV114" s="3">
        <f t="shared" si="103"/>
        <v>0</v>
      </c>
      <c r="AW114" s="4" t="str">
        <f t="shared" si="104"/>
        <v/>
      </c>
    </row>
    <row r="115" spans="1:49">
      <c r="A115" s="1" t="s">
        <v>127</v>
      </c>
      <c r="B115" s="2"/>
      <c r="C115" s="3">
        <f>2979.17</f>
        <v>2979.17</v>
      </c>
      <c r="D115" s="3">
        <f t="shared" si="79"/>
        <v>-2979.17</v>
      </c>
      <c r="E115" s="4">
        <f t="shared" si="80"/>
        <v>0</v>
      </c>
      <c r="F115" s="3">
        <f>78</f>
        <v>78</v>
      </c>
      <c r="G115" s="3">
        <f>2979.17</f>
        <v>2979.17</v>
      </c>
      <c r="H115" s="3">
        <f t="shared" si="81"/>
        <v>-2901.17</v>
      </c>
      <c r="I115" s="4">
        <f t="shared" si="82"/>
        <v>2.6181788887508935E-2</v>
      </c>
      <c r="J115" s="3">
        <f>0</f>
        <v>0</v>
      </c>
      <c r="K115" s="3">
        <f>2979.17</f>
        <v>2979.17</v>
      </c>
      <c r="L115" s="3">
        <f t="shared" si="83"/>
        <v>-2979.17</v>
      </c>
      <c r="M115" s="4">
        <f t="shared" si="84"/>
        <v>0</v>
      </c>
      <c r="N115" s="3">
        <f>0</f>
        <v>0</v>
      </c>
      <c r="O115" s="3">
        <f>2979.17</f>
        <v>2979.17</v>
      </c>
      <c r="P115" s="3">
        <f t="shared" si="85"/>
        <v>-2979.17</v>
      </c>
      <c r="Q115" s="4">
        <f t="shared" si="86"/>
        <v>0</v>
      </c>
      <c r="R115" s="3">
        <f>123.94</f>
        <v>123.94</v>
      </c>
      <c r="S115" s="3">
        <f>2979.17</f>
        <v>2979.17</v>
      </c>
      <c r="T115" s="3">
        <f t="shared" si="87"/>
        <v>-2855.23</v>
      </c>
      <c r="U115" s="4">
        <f t="shared" si="88"/>
        <v>4.1602191214331508E-2</v>
      </c>
      <c r="V115" s="2"/>
      <c r="W115" s="3">
        <f>2979.17</f>
        <v>2979.17</v>
      </c>
      <c r="X115" s="3">
        <f t="shared" si="89"/>
        <v>-2979.17</v>
      </c>
      <c r="Y115" s="4">
        <f t="shared" si="90"/>
        <v>0</v>
      </c>
      <c r="Z115" s="2"/>
      <c r="AA115" s="3">
        <f>2979.17</f>
        <v>2979.17</v>
      </c>
      <c r="AB115" s="3">
        <f t="shared" si="91"/>
        <v>-2979.17</v>
      </c>
      <c r="AC115" s="4">
        <f t="shared" si="92"/>
        <v>0</v>
      </c>
      <c r="AD115" s="2"/>
      <c r="AE115" s="3">
        <f>2979.17</f>
        <v>2979.17</v>
      </c>
      <c r="AF115" s="3">
        <f t="shared" si="93"/>
        <v>-2979.17</v>
      </c>
      <c r="AG115" s="4">
        <f t="shared" si="94"/>
        <v>0</v>
      </c>
      <c r="AH115" s="3">
        <f>2687.1</f>
        <v>2687.1</v>
      </c>
      <c r="AI115" s="3">
        <f>2979.17</f>
        <v>2979.17</v>
      </c>
      <c r="AJ115" s="3">
        <f t="shared" si="95"/>
        <v>-292.07000000000016</v>
      </c>
      <c r="AK115" s="4">
        <f t="shared" si="96"/>
        <v>0.90196262717468279</v>
      </c>
      <c r="AL115" s="3">
        <f>1657.5</f>
        <v>1657.5</v>
      </c>
      <c r="AM115" s="3">
        <f>2979.17</f>
        <v>2979.17</v>
      </c>
      <c r="AN115" s="3">
        <f t="shared" si="97"/>
        <v>-1321.67</v>
      </c>
      <c r="AO115" s="4">
        <f t="shared" si="98"/>
        <v>0.55636301385956488</v>
      </c>
      <c r="AP115" s="3">
        <f>2437.5</f>
        <v>2437.5</v>
      </c>
      <c r="AQ115" s="3">
        <f>2979.17</f>
        <v>2979.17</v>
      </c>
      <c r="AR115" s="3">
        <f t="shared" si="99"/>
        <v>-541.67000000000007</v>
      </c>
      <c r="AS115" s="4">
        <f t="shared" si="100"/>
        <v>0.81818090273465427</v>
      </c>
      <c r="AT115" s="3">
        <f t="shared" si="101"/>
        <v>6984.04</v>
      </c>
      <c r="AU115" s="3">
        <f t="shared" si="102"/>
        <v>32770.869999999995</v>
      </c>
      <c r="AV115" s="3">
        <f t="shared" si="103"/>
        <v>-25786.829999999994</v>
      </c>
      <c r="AW115" s="4">
        <f t="shared" si="104"/>
        <v>0.21311732035188571</v>
      </c>
    </row>
    <row r="116" spans="1:49">
      <c r="A116" s="1" t="s">
        <v>128</v>
      </c>
      <c r="B116" s="2"/>
      <c r="C116" s="3">
        <f>1604.17</f>
        <v>1604.17</v>
      </c>
      <c r="D116" s="3">
        <f t="shared" si="79"/>
        <v>-1604.17</v>
      </c>
      <c r="E116" s="4">
        <f t="shared" si="80"/>
        <v>0</v>
      </c>
      <c r="F116" s="3">
        <f>42</f>
        <v>42</v>
      </c>
      <c r="G116" s="3">
        <f>1604.17</f>
        <v>1604.17</v>
      </c>
      <c r="H116" s="3">
        <f t="shared" si="81"/>
        <v>-1562.17</v>
      </c>
      <c r="I116" s="4">
        <f t="shared" si="82"/>
        <v>2.6181763778153188E-2</v>
      </c>
      <c r="J116" s="3">
        <f>0</f>
        <v>0</v>
      </c>
      <c r="K116" s="3">
        <f>1604.17</f>
        <v>1604.17</v>
      </c>
      <c r="L116" s="3">
        <f t="shared" si="83"/>
        <v>-1604.17</v>
      </c>
      <c r="M116" s="4">
        <f t="shared" si="84"/>
        <v>0</v>
      </c>
      <c r="N116" s="3">
        <f>0</f>
        <v>0</v>
      </c>
      <c r="O116" s="3">
        <f>1604.17</f>
        <v>1604.17</v>
      </c>
      <c r="P116" s="3">
        <f t="shared" si="85"/>
        <v>-1604.17</v>
      </c>
      <c r="Q116" s="4">
        <f t="shared" si="86"/>
        <v>0</v>
      </c>
      <c r="R116" s="3">
        <f>66.73</f>
        <v>66.73</v>
      </c>
      <c r="S116" s="3">
        <f>1604.17</f>
        <v>1604.17</v>
      </c>
      <c r="T116" s="3">
        <f t="shared" si="87"/>
        <v>-1537.44</v>
      </c>
      <c r="U116" s="4">
        <f t="shared" si="88"/>
        <v>4.159783564086101E-2</v>
      </c>
      <c r="V116" s="2"/>
      <c r="W116" s="3">
        <f>1604.17</f>
        <v>1604.17</v>
      </c>
      <c r="X116" s="3">
        <f t="shared" si="89"/>
        <v>-1604.17</v>
      </c>
      <c r="Y116" s="4">
        <f t="shared" si="90"/>
        <v>0</v>
      </c>
      <c r="Z116" s="2"/>
      <c r="AA116" s="3">
        <f>1604.17</f>
        <v>1604.17</v>
      </c>
      <c r="AB116" s="3">
        <f t="shared" si="91"/>
        <v>-1604.17</v>
      </c>
      <c r="AC116" s="4">
        <f t="shared" si="92"/>
        <v>0</v>
      </c>
      <c r="AD116" s="2"/>
      <c r="AE116" s="3">
        <f>1604.17</f>
        <v>1604.17</v>
      </c>
      <c r="AF116" s="3">
        <f t="shared" si="93"/>
        <v>-1604.17</v>
      </c>
      <c r="AG116" s="4">
        <f t="shared" si="94"/>
        <v>0</v>
      </c>
      <c r="AH116" s="3">
        <f>1446.9</f>
        <v>1446.9</v>
      </c>
      <c r="AI116" s="3">
        <f>1604.17</f>
        <v>1604.17</v>
      </c>
      <c r="AJ116" s="3">
        <f t="shared" si="95"/>
        <v>-157.26999999999998</v>
      </c>
      <c r="AK116" s="4">
        <f t="shared" si="96"/>
        <v>0.90196176215737733</v>
      </c>
      <c r="AL116" s="3">
        <f>892.5</f>
        <v>892.5</v>
      </c>
      <c r="AM116" s="3">
        <f>1604.17</f>
        <v>1604.17</v>
      </c>
      <c r="AN116" s="3">
        <f t="shared" si="97"/>
        <v>-711.67000000000007</v>
      </c>
      <c r="AO116" s="4">
        <f t="shared" si="98"/>
        <v>0.55636248028575519</v>
      </c>
      <c r="AP116" s="3">
        <f>1312.5</f>
        <v>1312.5</v>
      </c>
      <c r="AQ116" s="3">
        <f>1604.17</f>
        <v>1604.17</v>
      </c>
      <c r="AR116" s="3">
        <f t="shared" si="99"/>
        <v>-291.67000000000007</v>
      </c>
      <c r="AS116" s="4">
        <f t="shared" si="100"/>
        <v>0.81818011806728708</v>
      </c>
      <c r="AT116" s="3">
        <f t="shared" si="101"/>
        <v>3760.63</v>
      </c>
      <c r="AU116" s="3">
        <f t="shared" si="102"/>
        <v>17645.870000000003</v>
      </c>
      <c r="AV116" s="3">
        <f t="shared" si="103"/>
        <v>-13885.240000000002</v>
      </c>
      <c r="AW116" s="4">
        <f t="shared" si="104"/>
        <v>0.21311672362994852</v>
      </c>
    </row>
    <row r="117" spans="1:49">
      <c r="A117" s="1" t="s">
        <v>129</v>
      </c>
      <c r="B117" s="2"/>
      <c r="C117" s="2"/>
      <c r="D117" s="3">
        <f t="shared" si="79"/>
        <v>0</v>
      </c>
      <c r="E117" s="4" t="str">
        <f t="shared" si="80"/>
        <v/>
      </c>
      <c r="F117" s="3">
        <f>0</f>
        <v>0</v>
      </c>
      <c r="G117" s="2"/>
      <c r="H117" s="3">
        <f t="shared" si="81"/>
        <v>0</v>
      </c>
      <c r="I117" s="4" t="str">
        <f t="shared" si="82"/>
        <v/>
      </c>
      <c r="J117" s="3">
        <f>2550</f>
        <v>2550</v>
      </c>
      <c r="K117" s="2"/>
      <c r="L117" s="3">
        <f t="shared" si="83"/>
        <v>2550</v>
      </c>
      <c r="M117" s="4" t="str">
        <f t="shared" si="84"/>
        <v/>
      </c>
      <c r="N117" s="3">
        <f>0</f>
        <v>0</v>
      </c>
      <c r="O117" s="2"/>
      <c r="P117" s="3">
        <f t="shared" si="85"/>
        <v>0</v>
      </c>
      <c r="Q117" s="4" t="str">
        <f t="shared" si="86"/>
        <v/>
      </c>
      <c r="R117" s="3">
        <f>0</f>
        <v>0</v>
      </c>
      <c r="S117" s="2"/>
      <c r="T117" s="3">
        <f t="shared" si="87"/>
        <v>0</v>
      </c>
      <c r="U117" s="4" t="str">
        <f t="shared" si="88"/>
        <v/>
      </c>
      <c r="V117" s="3">
        <f>3750</f>
        <v>3750</v>
      </c>
      <c r="W117" s="2"/>
      <c r="X117" s="3">
        <f t="shared" si="89"/>
        <v>3750</v>
      </c>
      <c r="Y117" s="4" t="str">
        <f t="shared" si="90"/>
        <v/>
      </c>
      <c r="Z117" s="2"/>
      <c r="AA117" s="2"/>
      <c r="AB117" s="3">
        <f t="shared" si="91"/>
        <v>0</v>
      </c>
      <c r="AC117" s="4" t="str">
        <f t="shared" si="92"/>
        <v/>
      </c>
      <c r="AD117" s="3">
        <f>3750</f>
        <v>3750</v>
      </c>
      <c r="AE117" s="2"/>
      <c r="AF117" s="3">
        <f t="shared" si="93"/>
        <v>3750</v>
      </c>
      <c r="AG117" s="4" t="str">
        <f t="shared" si="94"/>
        <v/>
      </c>
      <c r="AH117" s="3">
        <f>-3750</f>
        <v>-3750</v>
      </c>
      <c r="AI117" s="2"/>
      <c r="AJ117" s="3">
        <f t="shared" si="95"/>
        <v>-3750</v>
      </c>
      <c r="AK117" s="4" t="str">
        <f t="shared" si="96"/>
        <v/>
      </c>
      <c r="AL117" s="3">
        <f>-2550</f>
        <v>-2550</v>
      </c>
      <c r="AM117" s="2"/>
      <c r="AN117" s="3">
        <f t="shared" si="97"/>
        <v>-2550</v>
      </c>
      <c r="AO117" s="4" t="str">
        <f t="shared" si="98"/>
        <v/>
      </c>
      <c r="AP117" s="3">
        <f>-3750</f>
        <v>-3750</v>
      </c>
      <c r="AQ117" s="2"/>
      <c r="AR117" s="3">
        <f t="shared" si="99"/>
        <v>-3750</v>
      </c>
      <c r="AS117" s="4" t="str">
        <f t="shared" si="100"/>
        <v/>
      </c>
      <c r="AT117" s="3">
        <f t="shared" si="101"/>
        <v>0</v>
      </c>
      <c r="AU117" s="3">
        <f t="shared" si="102"/>
        <v>0</v>
      </c>
      <c r="AV117" s="3">
        <f t="shared" si="103"/>
        <v>0</v>
      </c>
      <c r="AW117" s="4" t="str">
        <f t="shared" si="104"/>
        <v/>
      </c>
    </row>
    <row r="118" spans="1:49">
      <c r="A118" s="1" t="s">
        <v>130</v>
      </c>
      <c r="B118" s="5">
        <f>(((B114)+(B115))+(B116))+(B117)</f>
        <v>0</v>
      </c>
      <c r="C118" s="5">
        <f>(((C114)+(C115))+(C116))+(C117)</f>
        <v>4583.34</v>
      </c>
      <c r="D118" s="5">
        <f t="shared" si="79"/>
        <v>-4583.34</v>
      </c>
      <c r="E118" s="6">
        <f t="shared" si="80"/>
        <v>0</v>
      </c>
      <c r="F118" s="5">
        <f>(((F114)+(F115))+(F116))+(F117)</f>
        <v>120</v>
      </c>
      <c r="G118" s="5">
        <f>(((G114)+(G115))+(G116))+(G117)</f>
        <v>4583.34</v>
      </c>
      <c r="H118" s="5">
        <f t="shared" si="81"/>
        <v>-4463.34</v>
      </c>
      <c r="I118" s="6">
        <f t="shared" si="82"/>
        <v>2.6181780099228946E-2</v>
      </c>
      <c r="J118" s="5">
        <f>(((J114)+(J115))+(J116))+(J117)</f>
        <v>2550</v>
      </c>
      <c r="K118" s="5">
        <f>(((K114)+(K115))+(K116))+(K117)</f>
        <v>4583.34</v>
      </c>
      <c r="L118" s="5">
        <f t="shared" si="83"/>
        <v>-2033.3400000000001</v>
      </c>
      <c r="M118" s="6">
        <f t="shared" si="84"/>
        <v>0.55636282710861507</v>
      </c>
      <c r="N118" s="5">
        <f>(((N114)+(N115))+(N116))+(N117)</f>
        <v>0</v>
      </c>
      <c r="O118" s="5">
        <f>(((O114)+(O115))+(O116))+(O117)</f>
        <v>4583.34</v>
      </c>
      <c r="P118" s="5">
        <f t="shared" si="85"/>
        <v>-4583.34</v>
      </c>
      <c r="Q118" s="6">
        <f t="shared" si="86"/>
        <v>0</v>
      </c>
      <c r="R118" s="5">
        <f>(((R114)+(R115))+(R116))+(R117)</f>
        <v>190.67000000000002</v>
      </c>
      <c r="S118" s="5">
        <f>(((S114)+(S115))+(S116))+(S117)</f>
        <v>4583.34</v>
      </c>
      <c r="T118" s="5">
        <f t="shared" si="87"/>
        <v>-4392.67</v>
      </c>
      <c r="U118" s="6">
        <f t="shared" si="88"/>
        <v>4.1600666762666529E-2</v>
      </c>
      <c r="V118" s="5">
        <f>(((V114)+(V115))+(V116))+(V117)</f>
        <v>3750</v>
      </c>
      <c r="W118" s="5">
        <f>(((W114)+(W115))+(W116))+(W117)</f>
        <v>4583.34</v>
      </c>
      <c r="X118" s="5">
        <f t="shared" si="89"/>
        <v>-833.34000000000015</v>
      </c>
      <c r="Y118" s="6">
        <f t="shared" si="90"/>
        <v>0.81818062810090453</v>
      </c>
      <c r="Z118" s="5">
        <f>(((Z114)+(Z115))+(Z116))+(Z117)</f>
        <v>0</v>
      </c>
      <c r="AA118" s="5">
        <f>(((AA114)+(AA115))+(AA116))+(AA117)</f>
        <v>4583.34</v>
      </c>
      <c r="AB118" s="5">
        <f t="shared" si="91"/>
        <v>-4583.34</v>
      </c>
      <c r="AC118" s="6">
        <f t="shared" si="92"/>
        <v>0</v>
      </c>
      <c r="AD118" s="5">
        <f>(((AD114)+(AD115))+(AD116))+(AD117)</f>
        <v>3750</v>
      </c>
      <c r="AE118" s="5">
        <f>(((AE114)+(AE115))+(AE116))+(AE117)</f>
        <v>4583.34</v>
      </c>
      <c r="AF118" s="5">
        <f t="shared" si="93"/>
        <v>-833.34000000000015</v>
      </c>
      <c r="AG118" s="6">
        <f t="shared" si="94"/>
        <v>0.81818062810090453</v>
      </c>
      <c r="AH118" s="5">
        <f>(((AH114)+(AH115))+(AH116))+(AH117)</f>
        <v>384</v>
      </c>
      <c r="AI118" s="5">
        <f>(((AI114)+(AI115))+(AI116))+(AI117)</f>
        <v>4583.34</v>
      </c>
      <c r="AJ118" s="5">
        <f t="shared" si="95"/>
        <v>-4199.34</v>
      </c>
      <c r="AK118" s="6">
        <f t="shared" si="96"/>
        <v>8.3781696317532628E-2</v>
      </c>
      <c r="AL118" s="5">
        <f>(((AL114)+(AL115))+(AL116))+(AL117)</f>
        <v>0</v>
      </c>
      <c r="AM118" s="5">
        <f>(((AM114)+(AM115))+(AM116))+(AM117)</f>
        <v>4583.34</v>
      </c>
      <c r="AN118" s="5">
        <f t="shared" si="97"/>
        <v>-4583.34</v>
      </c>
      <c r="AO118" s="6">
        <f t="shared" si="98"/>
        <v>0</v>
      </c>
      <c r="AP118" s="5">
        <f>(((AP114)+(AP115))+(AP116))+(AP117)</f>
        <v>0</v>
      </c>
      <c r="AQ118" s="5">
        <f>(((AQ114)+(AQ115))+(AQ116))+(AQ117)</f>
        <v>4583.34</v>
      </c>
      <c r="AR118" s="5">
        <f t="shared" si="99"/>
        <v>-4583.34</v>
      </c>
      <c r="AS118" s="6">
        <f t="shared" si="100"/>
        <v>0</v>
      </c>
      <c r="AT118" s="5">
        <f t="shared" si="101"/>
        <v>10744.67</v>
      </c>
      <c r="AU118" s="5">
        <f t="shared" si="102"/>
        <v>50416.739999999991</v>
      </c>
      <c r="AV118" s="5">
        <f t="shared" si="103"/>
        <v>-39672.069999999992</v>
      </c>
      <c r="AW118" s="6">
        <f t="shared" si="104"/>
        <v>0.21311711149907753</v>
      </c>
    </row>
    <row r="119" spans="1:49">
      <c r="A119" s="1" t="s">
        <v>131</v>
      </c>
      <c r="B119" s="2"/>
      <c r="C119" s="2"/>
      <c r="D119" s="3">
        <f t="shared" si="79"/>
        <v>0</v>
      </c>
      <c r="E119" s="4" t="str">
        <f t="shared" si="80"/>
        <v/>
      </c>
      <c r="F119" s="2"/>
      <c r="G119" s="2"/>
      <c r="H119" s="3">
        <f t="shared" si="81"/>
        <v>0</v>
      </c>
      <c r="I119" s="4" t="str">
        <f t="shared" si="82"/>
        <v/>
      </c>
      <c r="J119" s="2"/>
      <c r="K119" s="2"/>
      <c r="L119" s="3">
        <f t="shared" si="83"/>
        <v>0</v>
      </c>
      <c r="M119" s="4" t="str">
        <f t="shared" si="84"/>
        <v/>
      </c>
      <c r="N119" s="2"/>
      <c r="O119" s="2"/>
      <c r="P119" s="3">
        <f t="shared" si="85"/>
        <v>0</v>
      </c>
      <c r="Q119" s="4" t="str">
        <f t="shared" si="86"/>
        <v/>
      </c>
      <c r="R119" s="2"/>
      <c r="S119" s="2"/>
      <c r="T119" s="3">
        <f t="shared" si="87"/>
        <v>0</v>
      </c>
      <c r="U119" s="4" t="str">
        <f t="shared" si="88"/>
        <v/>
      </c>
      <c r="V119" s="2"/>
      <c r="W119" s="2"/>
      <c r="X119" s="3">
        <f t="shared" si="89"/>
        <v>0</v>
      </c>
      <c r="Y119" s="4" t="str">
        <f t="shared" si="90"/>
        <v/>
      </c>
      <c r="Z119" s="2"/>
      <c r="AA119" s="2"/>
      <c r="AB119" s="3">
        <f t="shared" si="91"/>
        <v>0</v>
      </c>
      <c r="AC119" s="4" t="str">
        <f t="shared" si="92"/>
        <v/>
      </c>
      <c r="AD119" s="2"/>
      <c r="AE119" s="2"/>
      <c r="AF119" s="3">
        <f t="shared" si="93"/>
        <v>0</v>
      </c>
      <c r="AG119" s="4" t="str">
        <f t="shared" si="94"/>
        <v/>
      </c>
      <c r="AH119" s="2"/>
      <c r="AI119" s="2"/>
      <c r="AJ119" s="3">
        <f t="shared" si="95"/>
        <v>0</v>
      </c>
      <c r="AK119" s="4" t="str">
        <f t="shared" si="96"/>
        <v/>
      </c>
      <c r="AL119" s="2"/>
      <c r="AM119" s="2"/>
      <c r="AN119" s="3">
        <f t="shared" si="97"/>
        <v>0</v>
      </c>
      <c r="AO119" s="4" t="str">
        <f t="shared" si="98"/>
        <v/>
      </c>
      <c r="AP119" s="2"/>
      <c r="AQ119" s="2"/>
      <c r="AR119" s="3">
        <f t="shared" si="99"/>
        <v>0</v>
      </c>
      <c r="AS119" s="4" t="str">
        <f t="shared" si="100"/>
        <v/>
      </c>
      <c r="AT119" s="3">
        <f t="shared" si="101"/>
        <v>0</v>
      </c>
      <c r="AU119" s="3">
        <f t="shared" si="102"/>
        <v>0</v>
      </c>
      <c r="AV119" s="3">
        <f t="shared" si="103"/>
        <v>0</v>
      </c>
      <c r="AW119" s="4" t="str">
        <f t="shared" si="104"/>
        <v/>
      </c>
    </row>
    <row r="120" spans="1:49">
      <c r="A120" s="1" t="s">
        <v>132</v>
      </c>
      <c r="B120" s="3">
        <f>3.87</f>
        <v>3.87</v>
      </c>
      <c r="C120" s="3">
        <f>92.08</f>
        <v>92.08</v>
      </c>
      <c r="D120" s="3">
        <f t="shared" si="79"/>
        <v>-88.21</v>
      </c>
      <c r="E120" s="4">
        <f t="shared" si="80"/>
        <v>4.2028670721112077E-2</v>
      </c>
      <c r="F120" s="3">
        <f>3.74</f>
        <v>3.74</v>
      </c>
      <c r="G120" s="3">
        <f>92.08</f>
        <v>92.08</v>
      </c>
      <c r="H120" s="3">
        <f t="shared" si="81"/>
        <v>-88.34</v>
      </c>
      <c r="I120" s="4">
        <f t="shared" si="82"/>
        <v>4.061685490877498E-2</v>
      </c>
      <c r="J120" s="3">
        <f>3.74</f>
        <v>3.74</v>
      </c>
      <c r="K120" s="3">
        <f>92.08</f>
        <v>92.08</v>
      </c>
      <c r="L120" s="3">
        <f t="shared" si="83"/>
        <v>-88.34</v>
      </c>
      <c r="M120" s="4">
        <f t="shared" si="84"/>
        <v>4.061685490877498E-2</v>
      </c>
      <c r="N120" s="3">
        <f>6.5</f>
        <v>6.5</v>
      </c>
      <c r="O120" s="3">
        <f>92.08</f>
        <v>92.08</v>
      </c>
      <c r="P120" s="3">
        <f t="shared" si="85"/>
        <v>-85.58</v>
      </c>
      <c r="Q120" s="4">
        <f t="shared" si="86"/>
        <v>7.0590790616854915E-2</v>
      </c>
      <c r="R120" s="3">
        <f>114.78</f>
        <v>114.78</v>
      </c>
      <c r="S120" s="3">
        <f>92.08</f>
        <v>92.08</v>
      </c>
      <c r="T120" s="3">
        <f t="shared" si="87"/>
        <v>22.700000000000003</v>
      </c>
      <c r="U120" s="4">
        <f t="shared" si="88"/>
        <v>1.246524761077324</v>
      </c>
      <c r="V120" s="3">
        <f>23.37</f>
        <v>23.37</v>
      </c>
      <c r="W120" s="3">
        <f>92.08</f>
        <v>92.08</v>
      </c>
      <c r="X120" s="3">
        <f t="shared" si="89"/>
        <v>-68.709999999999994</v>
      </c>
      <c r="Y120" s="4">
        <f t="shared" si="90"/>
        <v>0.25380104257167679</v>
      </c>
      <c r="Z120" s="3">
        <f>3.74</f>
        <v>3.74</v>
      </c>
      <c r="AA120" s="3">
        <f>92.08</f>
        <v>92.08</v>
      </c>
      <c r="AB120" s="3">
        <f t="shared" si="91"/>
        <v>-88.34</v>
      </c>
      <c r="AC120" s="4">
        <f t="shared" si="92"/>
        <v>4.061685490877498E-2</v>
      </c>
      <c r="AD120" s="3">
        <f>10.23</f>
        <v>10.23</v>
      </c>
      <c r="AE120" s="3">
        <f>92.08</f>
        <v>92.08</v>
      </c>
      <c r="AF120" s="3">
        <f t="shared" si="93"/>
        <v>-81.849999999999994</v>
      </c>
      <c r="AG120" s="4">
        <f t="shared" si="94"/>
        <v>0.11109904430929628</v>
      </c>
      <c r="AH120" s="3">
        <f>3.74</f>
        <v>3.74</v>
      </c>
      <c r="AI120" s="3">
        <f>92.08</f>
        <v>92.08</v>
      </c>
      <c r="AJ120" s="3">
        <f t="shared" si="95"/>
        <v>-88.34</v>
      </c>
      <c r="AK120" s="4">
        <f t="shared" si="96"/>
        <v>4.061685490877498E-2</v>
      </c>
      <c r="AL120" s="3">
        <f>0</f>
        <v>0</v>
      </c>
      <c r="AM120" s="3">
        <f>92.08</f>
        <v>92.08</v>
      </c>
      <c r="AN120" s="3">
        <f t="shared" si="97"/>
        <v>-92.08</v>
      </c>
      <c r="AO120" s="4">
        <f t="shared" si="98"/>
        <v>0</v>
      </c>
      <c r="AP120" s="3">
        <f>0</f>
        <v>0</v>
      </c>
      <c r="AQ120" s="3">
        <f>92.08</f>
        <v>92.08</v>
      </c>
      <c r="AR120" s="3">
        <f t="shared" si="99"/>
        <v>-92.08</v>
      </c>
      <c r="AS120" s="4">
        <f t="shared" si="100"/>
        <v>0</v>
      </c>
      <c r="AT120" s="3">
        <f t="shared" si="101"/>
        <v>173.71</v>
      </c>
      <c r="AU120" s="3">
        <f t="shared" si="102"/>
        <v>1012.8800000000002</v>
      </c>
      <c r="AV120" s="3">
        <f t="shared" si="103"/>
        <v>-839.17000000000019</v>
      </c>
      <c r="AW120" s="4">
        <f t="shared" si="104"/>
        <v>0.17150106626648762</v>
      </c>
    </row>
    <row r="121" spans="1:49">
      <c r="A121" s="1" t="s">
        <v>133</v>
      </c>
      <c r="B121" s="3">
        <f>2.07</f>
        <v>2.0699999999999998</v>
      </c>
      <c r="C121" s="3">
        <f>49.58</f>
        <v>49.58</v>
      </c>
      <c r="D121" s="3">
        <f t="shared" si="79"/>
        <v>-47.51</v>
      </c>
      <c r="E121" s="4">
        <f t="shared" si="80"/>
        <v>4.1750705929810408E-2</v>
      </c>
      <c r="F121" s="3">
        <f>2.01</f>
        <v>2.0099999999999998</v>
      </c>
      <c r="G121" s="3">
        <f>49.58</f>
        <v>49.58</v>
      </c>
      <c r="H121" s="3">
        <f t="shared" si="81"/>
        <v>-47.57</v>
      </c>
      <c r="I121" s="4">
        <f t="shared" si="82"/>
        <v>4.0540540540540536E-2</v>
      </c>
      <c r="J121" s="3">
        <f>2</f>
        <v>2</v>
      </c>
      <c r="K121" s="3">
        <f>49.58</f>
        <v>49.58</v>
      </c>
      <c r="L121" s="3">
        <f t="shared" si="83"/>
        <v>-47.58</v>
      </c>
      <c r="M121" s="4">
        <f t="shared" si="84"/>
        <v>4.0338846308995563E-2</v>
      </c>
      <c r="N121" s="3">
        <f>3.5</f>
        <v>3.5</v>
      </c>
      <c r="O121" s="3">
        <f>49.58</f>
        <v>49.58</v>
      </c>
      <c r="P121" s="3">
        <f t="shared" si="85"/>
        <v>-46.08</v>
      </c>
      <c r="Q121" s="4">
        <f t="shared" si="86"/>
        <v>7.0592981040742242E-2</v>
      </c>
      <c r="R121" s="3">
        <f>61.81</f>
        <v>61.81</v>
      </c>
      <c r="S121" s="3">
        <f>49.58</f>
        <v>49.58</v>
      </c>
      <c r="T121" s="3">
        <f t="shared" si="87"/>
        <v>12.230000000000004</v>
      </c>
      <c r="U121" s="4">
        <f t="shared" si="88"/>
        <v>1.2466720451795079</v>
      </c>
      <c r="V121" s="3">
        <f>12.58</f>
        <v>12.58</v>
      </c>
      <c r="W121" s="3">
        <f>49.58</f>
        <v>49.58</v>
      </c>
      <c r="X121" s="3">
        <f t="shared" si="89"/>
        <v>-37</v>
      </c>
      <c r="Y121" s="4">
        <f t="shared" si="90"/>
        <v>0.2537313432835821</v>
      </c>
      <c r="Z121" s="3">
        <f>2</f>
        <v>2</v>
      </c>
      <c r="AA121" s="3">
        <f>49.58</f>
        <v>49.58</v>
      </c>
      <c r="AB121" s="3">
        <f t="shared" si="91"/>
        <v>-47.58</v>
      </c>
      <c r="AC121" s="4">
        <f t="shared" si="92"/>
        <v>4.0338846308995563E-2</v>
      </c>
      <c r="AD121" s="3">
        <f>5.51</f>
        <v>5.51</v>
      </c>
      <c r="AE121" s="3">
        <f>49.58</f>
        <v>49.58</v>
      </c>
      <c r="AF121" s="3">
        <f t="shared" si="93"/>
        <v>-44.07</v>
      </c>
      <c r="AG121" s="4">
        <f t="shared" si="94"/>
        <v>0.11113352158128277</v>
      </c>
      <c r="AH121" s="3">
        <f>2.01</f>
        <v>2.0099999999999998</v>
      </c>
      <c r="AI121" s="3">
        <f>49.58</f>
        <v>49.58</v>
      </c>
      <c r="AJ121" s="3">
        <f t="shared" si="95"/>
        <v>-47.57</v>
      </c>
      <c r="AK121" s="4">
        <f t="shared" si="96"/>
        <v>4.0540540540540536E-2</v>
      </c>
      <c r="AL121" s="3">
        <f>0</f>
        <v>0</v>
      </c>
      <c r="AM121" s="3">
        <f>49.58</f>
        <v>49.58</v>
      </c>
      <c r="AN121" s="3">
        <f t="shared" si="97"/>
        <v>-49.58</v>
      </c>
      <c r="AO121" s="4">
        <f t="shared" si="98"/>
        <v>0</v>
      </c>
      <c r="AP121" s="3">
        <f>0</f>
        <v>0</v>
      </c>
      <c r="AQ121" s="3">
        <f>49.58</f>
        <v>49.58</v>
      </c>
      <c r="AR121" s="3">
        <f t="shared" si="99"/>
        <v>-49.58</v>
      </c>
      <c r="AS121" s="4">
        <f t="shared" si="100"/>
        <v>0</v>
      </c>
      <c r="AT121" s="3">
        <f t="shared" si="101"/>
        <v>93.490000000000009</v>
      </c>
      <c r="AU121" s="3">
        <f t="shared" si="102"/>
        <v>545.37999999999988</v>
      </c>
      <c r="AV121" s="3">
        <f t="shared" si="103"/>
        <v>-451.88999999999987</v>
      </c>
      <c r="AW121" s="4">
        <f t="shared" si="104"/>
        <v>0.17142176097399983</v>
      </c>
    </row>
    <row r="122" spans="1:49">
      <c r="A122" s="1" t="s">
        <v>134</v>
      </c>
      <c r="B122" s="3">
        <f>0</f>
        <v>0</v>
      </c>
      <c r="C122" s="2"/>
      <c r="D122" s="3">
        <f t="shared" si="79"/>
        <v>0</v>
      </c>
      <c r="E122" s="4" t="str">
        <f t="shared" si="80"/>
        <v/>
      </c>
      <c r="F122" s="3">
        <f>0</f>
        <v>0</v>
      </c>
      <c r="G122" s="2"/>
      <c r="H122" s="3">
        <f t="shared" si="81"/>
        <v>0</v>
      </c>
      <c r="I122" s="4" t="str">
        <f t="shared" si="82"/>
        <v/>
      </c>
      <c r="J122" s="3">
        <f>0</f>
        <v>0</v>
      </c>
      <c r="K122" s="2"/>
      <c r="L122" s="3">
        <f t="shared" si="83"/>
        <v>0</v>
      </c>
      <c r="M122" s="4" t="str">
        <f t="shared" si="84"/>
        <v/>
      </c>
      <c r="N122" s="3">
        <f>0</f>
        <v>0</v>
      </c>
      <c r="O122" s="2"/>
      <c r="P122" s="3">
        <f t="shared" si="85"/>
        <v>0</v>
      </c>
      <c r="Q122" s="4" t="str">
        <f t="shared" si="86"/>
        <v/>
      </c>
      <c r="R122" s="3">
        <f>0</f>
        <v>0</v>
      </c>
      <c r="S122" s="2"/>
      <c r="T122" s="3">
        <f t="shared" si="87"/>
        <v>0</v>
      </c>
      <c r="U122" s="4" t="str">
        <f t="shared" si="88"/>
        <v/>
      </c>
      <c r="V122" s="3">
        <f>0</f>
        <v>0</v>
      </c>
      <c r="W122" s="2"/>
      <c r="X122" s="3">
        <f t="shared" si="89"/>
        <v>0</v>
      </c>
      <c r="Y122" s="4" t="str">
        <f t="shared" si="90"/>
        <v/>
      </c>
      <c r="Z122" s="3">
        <f>0</f>
        <v>0</v>
      </c>
      <c r="AA122" s="2"/>
      <c r="AB122" s="3">
        <f t="shared" si="91"/>
        <v>0</v>
      </c>
      <c r="AC122" s="4" t="str">
        <f t="shared" si="92"/>
        <v/>
      </c>
      <c r="AD122" s="3">
        <f>0.01</f>
        <v>0.01</v>
      </c>
      <c r="AE122" s="2"/>
      <c r="AF122" s="3">
        <f t="shared" si="93"/>
        <v>0.01</v>
      </c>
      <c r="AG122" s="4" t="str">
        <f t="shared" si="94"/>
        <v/>
      </c>
      <c r="AH122" s="3">
        <f>0</f>
        <v>0</v>
      </c>
      <c r="AI122" s="2"/>
      <c r="AJ122" s="3">
        <f t="shared" si="95"/>
        <v>0</v>
      </c>
      <c r="AK122" s="4" t="str">
        <f t="shared" si="96"/>
        <v/>
      </c>
      <c r="AL122" s="3">
        <f>0</f>
        <v>0</v>
      </c>
      <c r="AM122" s="2"/>
      <c r="AN122" s="3">
        <f t="shared" si="97"/>
        <v>0</v>
      </c>
      <c r="AO122" s="4" t="str">
        <f t="shared" si="98"/>
        <v/>
      </c>
      <c r="AP122" s="3">
        <f>0</f>
        <v>0</v>
      </c>
      <c r="AQ122" s="2"/>
      <c r="AR122" s="3">
        <f t="shared" si="99"/>
        <v>0</v>
      </c>
      <c r="AS122" s="4" t="str">
        <f t="shared" si="100"/>
        <v/>
      </c>
      <c r="AT122" s="3">
        <f t="shared" si="101"/>
        <v>0.01</v>
      </c>
      <c r="AU122" s="3">
        <f t="shared" si="102"/>
        <v>0</v>
      </c>
      <c r="AV122" s="3">
        <f t="shared" si="103"/>
        <v>0.01</v>
      </c>
      <c r="AW122" s="4" t="str">
        <f t="shared" si="104"/>
        <v/>
      </c>
    </row>
    <row r="123" spans="1:49">
      <c r="A123" s="1" t="s">
        <v>135</v>
      </c>
      <c r="B123" s="5">
        <f>(((B119)+(B120))+(B121))+(B122)</f>
        <v>5.9399999999999995</v>
      </c>
      <c r="C123" s="5">
        <f>(((C119)+(C120))+(C121))+(C122)</f>
        <v>141.66</v>
      </c>
      <c r="D123" s="5">
        <f t="shared" si="79"/>
        <v>-135.72</v>
      </c>
      <c r="E123" s="6">
        <f t="shared" si="80"/>
        <v>4.1931385006353239E-2</v>
      </c>
      <c r="F123" s="5">
        <f>(((F119)+(F120))+(F121))+(F122)</f>
        <v>5.75</v>
      </c>
      <c r="G123" s="5">
        <f>(((G119)+(G120))+(G121))+(G122)</f>
        <v>141.66</v>
      </c>
      <c r="H123" s="5">
        <f t="shared" si="81"/>
        <v>-135.91</v>
      </c>
      <c r="I123" s="6">
        <f t="shared" si="82"/>
        <v>4.0590145418607934E-2</v>
      </c>
      <c r="J123" s="5">
        <f>(((J119)+(J120))+(J121))+(J122)</f>
        <v>5.74</v>
      </c>
      <c r="K123" s="5">
        <f>(((K119)+(K120))+(K121))+(K122)</f>
        <v>141.66</v>
      </c>
      <c r="L123" s="5">
        <f t="shared" si="83"/>
        <v>-135.91999999999999</v>
      </c>
      <c r="M123" s="6">
        <f t="shared" si="84"/>
        <v>4.0519553861358186E-2</v>
      </c>
      <c r="N123" s="5">
        <f>(((N119)+(N120))+(N121))+(N122)</f>
        <v>10</v>
      </c>
      <c r="O123" s="5">
        <f>(((O119)+(O120))+(O121))+(O122)</f>
        <v>141.66</v>
      </c>
      <c r="P123" s="5">
        <f t="shared" si="85"/>
        <v>-131.66</v>
      </c>
      <c r="Q123" s="6">
        <f t="shared" si="86"/>
        <v>7.0591557249752926E-2</v>
      </c>
      <c r="R123" s="5">
        <f>(((R119)+(R120))+(R121))+(R122)</f>
        <v>176.59</v>
      </c>
      <c r="S123" s="5">
        <f>(((S119)+(S120))+(S121))+(S122)</f>
        <v>141.66</v>
      </c>
      <c r="T123" s="5">
        <f t="shared" si="87"/>
        <v>34.930000000000007</v>
      </c>
      <c r="U123" s="6">
        <f t="shared" si="88"/>
        <v>1.246576309473387</v>
      </c>
      <c r="V123" s="5">
        <f>(((V119)+(V120))+(V121))+(V122)</f>
        <v>35.950000000000003</v>
      </c>
      <c r="W123" s="5">
        <f>(((W119)+(W120))+(W121))+(W122)</f>
        <v>141.66</v>
      </c>
      <c r="X123" s="5">
        <f t="shared" si="89"/>
        <v>-105.71</v>
      </c>
      <c r="Y123" s="6">
        <f t="shared" si="90"/>
        <v>0.25377664831286179</v>
      </c>
      <c r="Z123" s="5">
        <f>(((Z119)+(Z120))+(Z121))+(Z122)</f>
        <v>5.74</v>
      </c>
      <c r="AA123" s="5">
        <f>(((AA119)+(AA120))+(AA121))+(AA122)</f>
        <v>141.66</v>
      </c>
      <c r="AB123" s="5">
        <f t="shared" si="91"/>
        <v>-135.91999999999999</v>
      </c>
      <c r="AC123" s="6">
        <f t="shared" si="92"/>
        <v>4.0519553861358186E-2</v>
      </c>
      <c r="AD123" s="5">
        <f>(((AD119)+(AD120))+(AD121))+(AD122)</f>
        <v>15.75</v>
      </c>
      <c r="AE123" s="5">
        <f>(((AE119)+(AE120))+(AE121))+(AE122)</f>
        <v>141.66</v>
      </c>
      <c r="AF123" s="5">
        <f t="shared" si="93"/>
        <v>-125.91</v>
      </c>
      <c r="AG123" s="6">
        <f t="shared" si="94"/>
        <v>0.11118170266836086</v>
      </c>
      <c r="AH123" s="5">
        <f>(((AH119)+(AH120))+(AH121))+(AH122)</f>
        <v>5.75</v>
      </c>
      <c r="AI123" s="5">
        <f>(((AI119)+(AI120))+(AI121))+(AI122)</f>
        <v>141.66</v>
      </c>
      <c r="AJ123" s="5">
        <f t="shared" si="95"/>
        <v>-135.91</v>
      </c>
      <c r="AK123" s="6">
        <f t="shared" si="96"/>
        <v>4.0590145418607934E-2</v>
      </c>
      <c r="AL123" s="5">
        <f>(((AL119)+(AL120))+(AL121))+(AL122)</f>
        <v>0</v>
      </c>
      <c r="AM123" s="5">
        <f>(((AM119)+(AM120))+(AM121))+(AM122)</f>
        <v>141.66</v>
      </c>
      <c r="AN123" s="5">
        <f t="shared" si="97"/>
        <v>-141.66</v>
      </c>
      <c r="AO123" s="6">
        <f t="shared" si="98"/>
        <v>0</v>
      </c>
      <c r="AP123" s="5">
        <f>(((AP119)+(AP120))+(AP121))+(AP122)</f>
        <v>0</v>
      </c>
      <c r="AQ123" s="5">
        <f>(((AQ119)+(AQ120))+(AQ121))+(AQ122)</f>
        <v>141.66</v>
      </c>
      <c r="AR123" s="5">
        <f t="shared" si="99"/>
        <v>-141.66</v>
      </c>
      <c r="AS123" s="6">
        <f t="shared" si="100"/>
        <v>0</v>
      </c>
      <c r="AT123" s="5">
        <f t="shared" si="101"/>
        <v>267.21000000000004</v>
      </c>
      <c r="AU123" s="5">
        <f t="shared" si="102"/>
        <v>1558.2600000000002</v>
      </c>
      <c r="AV123" s="5">
        <f t="shared" si="103"/>
        <v>-1291.0500000000002</v>
      </c>
      <c r="AW123" s="6">
        <f t="shared" si="104"/>
        <v>0.17147972738824072</v>
      </c>
    </row>
    <row r="124" spans="1:49">
      <c r="A124" s="1" t="s">
        <v>136</v>
      </c>
      <c r="B124" s="5">
        <f>(((((((((((((((((((((B18)+(B23))+(B28))+(B33))+(B38))+(B43))+(B48))+(B53))+(B58))+(B63))+(B68))+(B73))+(B78))+(B83))+(B88))+(B93))+(B98))+(B103))+(B108))+(B113))+(B118))+(B123)</f>
        <v>14122.08</v>
      </c>
      <c r="C124" s="5">
        <f>(((((((((((((((((((((C18)+(C23))+(C28))+(C33))+(C38))+(C43))+(C48))+(C53))+(C58))+(C63))+(C68))+(C73))+(C78))+(C83))+(C88))+(C93))+(C98))+(C103))+(C108))+(C113))+(C118))+(C123)</f>
        <v>29186.600000000002</v>
      </c>
      <c r="D124" s="5">
        <f t="shared" si="79"/>
        <v>-15064.520000000002</v>
      </c>
      <c r="E124" s="6">
        <f t="shared" si="80"/>
        <v>0.4838549197234347</v>
      </c>
      <c r="F124" s="5">
        <f>(((((((((((((((((((((F18)+(F23))+(F28))+(F33))+(F38))+(F43))+(F48))+(F53))+(F58))+(F63))+(F68))+(F73))+(F78))+(F83))+(F88))+(F93))+(F98))+(F103))+(F108))+(F113))+(F118))+(F123)</f>
        <v>18469.3</v>
      </c>
      <c r="G124" s="5">
        <f>(((((((((((((((((((((G18)+(G23))+(G28))+(G33))+(G38))+(G43))+(G48))+(G53))+(G58))+(G63))+(G68))+(G73))+(G78))+(G83))+(G88))+(G93))+(G98))+(G103))+(G108))+(G113))+(G118))+(G123)</f>
        <v>29186.600000000002</v>
      </c>
      <c r="H124" s="5">
        <f t="shared" si="81"/>
        <v>-10717.300000000003</v>
      </c>
      <c r="I124" s="6">
        <f t="shared" si="82"/>
        <v>0.63280066880006569</v>
      </c>
      <c r="J124" s="5">
        <f>(((((((((((((((((((((J18)+(J23))+(J28))+(J33))+(J38))+(J43))+(J48))+(J53))+(J58))+(J63))+(J68))+(J73))+(J78))+(J83))+(J88))+(J93))+(J98))+(J103))+(J108))+(J113))+(J118))+(J123)</f>
        <v>25645.170000000006</v>
      </c>
      <c r="K124" s="5">
        <f>(((((((((((((((((((((K18)+(K23))+(K28))+(K33))+(K38))+(K43))+(K48))+(K53))+(K58))+(K63))+(K68))+(K73))+(K78))+(K83))+(K88))+(K93))+(K98))+(K103))+(K108))+(K113))+(K118))+(K123)</f>
        <v>29186.600000000002</v>
      </c>
      <c r="L124" s="5">
        <f t="shared" si="83"/>
        <v>-3541.4299999999967</v>
      </c>
      <c r="M124" s="6">
        <f t="shared" si="84"/>
        <v>0.87866246839302975</v>
      </c>
      <c r="N124" s="5">
        <f>(((((((((((((((((((((N18)+(N23))+(N28))+(N33))+(N38))+(N43))+(N48))+(N53))+(N58))+(N63))+(N68))+(N73))+(N78))+(N83))+(N88))+(N93))+(N98))+(N103))+(N108))+(N113))+(N118))+(N123)</f>
        <v>26837.660000000007</v>
      </c>
      <c r="O124" s="5">
        <f>(((((((((((((((((((((O18)+(O23))+(O28))+(O33))+(O38))+(O43))+(O48))+(O53))+(O58))+(O63))+(O68))+(O73))+(O78))+(O83))+(O88))+(O93))+(O98))+(O103))+(O108))+(O113))+(O118))+(O123)</f>
        <v>29186.600000000002</v>
      </c>
      <c r="P124" s="5">
        <f t="shared" si="85"/>
        <v>-2348.9399999999951</v>
      </c>
      <c r="Q124" s="6">
        <f t="shared" si="86"/>
        <v>0.91951991667409039</v>
      </c>
      <c r="R124" s="5">
        <f>(((((((((((((((((((((R18)+(R23))+(R28))+(R33))+(R38))+(R43))+(R48))+(R53))+(R58))+(R63))+(R68))+(R73))+(R78))+(R83))+(R88))+(R93))+(R98))+(R103))+(R108))+(R113))+(R118))+(R123)</f>
        <v>19213.48</v>
      </c>
      <c r="S124" s="5">
        <f>(((((((((((((((((((((S18)+(S23))+(S28))+(S33))+(S38))+(S43))+(S48))+(S53))+(S58))+(S63))+(S68))+(S73))+(S78))+(S83))+(S88))+(S93))+(S98))+(S103))+(S108))+(S113))+(S118))+(S123)</f>
        <v>29186.600000000002</v>
      </c>
      <c r="T124" s="5">
        <f t="shared" si="87"/>
        <v>-9973.1200000000026</v>
      </c>
      <c r="U124" s="6">
        <f t="shared" si="88"/>
        <v>0.65829798606209688</v>
      </c>
      <c r="V124" s="5">
        <f>(((((((((((((((((((((V18)+(V23))+(V28))+(V33))+(V38))+(V43))+(V48))+(V53))+(V58))+(V63))+(V68))+(V73))+(V78))+(V83))+(V88))+(V93))+(V98))+(V103))+(V108))+(V113))+(V118))+(V123)</f>
        <v>27846.550000000003</v>
      </c>
      <c r="W124" s="5">
        <f>(((((((((((((((((((((W18)+(W23))+(W28))+(W33))+(W38))+(W43))+(W48))+(W53))+(W58))+(W63))+(W68))+(W73))+(W78))+(W83))+(W88))+(W93))+(W98))+(W103))+(W108))+(W113))+(W118))+(W123)</f>
        <v>29186.600000000002</v>
      </c>
      <c r="X124" s="5">
        <f t="shared" si="89"/>
        <v>-1340.0499999999993</v>
      </c>
      <c r="Y124" s="6">
        <f t="shared" si="90"/>
        <v>0.9540868069593581</v>
      </c>
      <c r="Z124" s="5">
        <f>(((((((((((((((((((((Z18)+(Z23))+(Z28))+(Z33))+(Z38))+(Z43))+(Z48))+(Z53))+(Z58))+(Z63))+(Z68))+(Z73))+(Z78))+(Z83))+(Z88))+(Z93))+(Z98))+(Z103))+(Z108))+(Z113))+(Z118))+(Z123)</f>
        <v>16103.130000000001</v>
      </c>
      <c r="AA124" s="5">
        <f>(((((((((((((((((((((AA18)+(AA23))+(AA28))+(AA33))+(AA38))+(AA43))+(AA48))+(AA53))+(AA58))+(AA63))+(AA68))+(AA73))+(AA78))+(AA83))+(AA88))+(AA93))+(AA98))+(AA103))+(AA108))+(AA113))+(AA118))+(AA123)</f>
        <v>29186.600000000002</v>
      </c>
      <c r="AB124" s="5">
        <f t="shared" si="91"/>
        <v>-13083.470000000001</v>
      </c>
      <c r="AC124" s="6">
        <f t="shared" si="92"/>
        <v>0.55173024607182752</v>
      </c>
      <c r="AD124" s="5">
        <f>(((((((((((((((((((((AD18)+(AD23))+(AD28))+(AD33))+(AD38))+(AD43))+(AD48))+(AD53))+(AD58))+(AD63))+(AD68))+(AD73))+(AD78))+(AD83))+(AD88))+(AD93))+(AD98))+(AD103))+(AD108))+(AD113))+(AD118))+(AD123)</f>
        <v>24335.08</v>
      </c>
      <c r="AE124" s="5">
        <f>(((((((((((((((((((((AE18)+(AE23))+(AE28))+(AE33))+(AE38))+(AE43))+(AE48))+(AE53))+(AE58))+(AE63))+(AE68))+(AE73))+(AE78))+(AE83))+(AE88))+(AE93))+(AE98))+(AE103))+(AE108))+(AE113))+(AE118))+(AE123)</f>
        <v>29186.600000000002</v>
      </c>
      <c r="AF124" s="5">
        <f t="shared" si="93"/>
        <v>-4851.5200000000004</v>
      </c>
      <c r="AG124" s="6">
        <f t="shared" si="94"/>
        <v>0.83377577381401058</v>
      </c>
      <c r="AH124" s="5">
        <f>(((((((((((((((((((((AH18)+(AH23))+(AH28))+(AH33))+(AH38))+(AH43))+(AH48))+(AH53))+(AH58))+(AH63))+(AH68))+(AH73))+(AH78))+(AH83))+(AH88))+(AH93))+(AH98))+(AH103))+(AH108))+(AH113))+(AH118))+(AH123)</f>
        <v>20740.489999999998</v>
      </c>
      <c r="AI124" s="5">
        <f>(((((((((((((((((((((AI18)+(AI23))+(AI28))+(AI33))+(AI38))+(AI43))+(AI48))+(AI53))+(AI58))+(AI63))+(AI68))+(AI73))+(AI78))+(AI83))+(AI88))+(AI93))+(AI98))+(AI103))+(AI108))+(AI113))+(AI118))+(AI123)</f>
        <v>29186.600000000002</v>
      </c>
      <c r="AJ124" s="5">
        <f t="shared" si="95"/>
        <v>-8446.1100000000042</v>
      </c>
      <c r="AK124" s="6">
        <f t="shared" si="96"/>
        <v>0.71061685842133027</v>
      </c>
      <c r="AL124" s="5">
        <f>(((((((((((((((((((((AL18)+(AL23))+(AL28))+(AL33))+(AL38))+(AL43))+(AL48))+(AL53))+(AL58))+(AL63))+(AL68))+(AL73))+(AL78))+(AL83))+(AL88))+(AL93))+(AL98))+(AL103))+(AL108))+(AL113))+(AL118))+(AL123)</f>
        <v>30317.69</v>
      </c>
      <c r="AM124" s="5">
        <f>(((((((((((((((((((((AM18)+(AM23))+(AM28))+(AM33))+(AM38))+(AM43))+(AM48))+(AM53))+(AM58))+(AM63))+(AM68))+(AM73))+(AM78))+(AM83))+(AM88))+(AM93))+(AM98))+(AM103))+(AM108))+(AM113))+(AM118))+(AM123)</f>
        <v>29186.600000000002</v>
      </c>
      <c r="AN124" s="5">
        <f t="shared" si="97"/>
        <v>1131.0899999999965</v>
      </c>
      <c r="AO124" s="6">
        <f t="shared" si="98"/>
        <v>1.0387537431561058</v>
      </c>
      <c r="AP124" s="5">
        <f>(((((((((((((((((((((AP18)+(AP23))+(AP28))+(AP33))+(AP38))+(AP43))+(AP48))+(AP53))+(AP58))+(AP63))+(AP68))+(AP73))+(AP78))+(AP83))+(AP88))+(AP93))+(AP98))+(AP103))+(AP108))+(AP113))+(AP118))+(AP123)</f>
        <v>14317.530000000002</v>
      </c>
      <c r="AQ124" s="5">
        <f>(((((((((((((((((((((AQ18)+(AQ23))+(AQ28))+(AQ33))+(AQ38))+(AQ43))+(AQ48))+(AQ53))+(AQ58))+(AQ63))+(AQ68))+(AQ73))+(AQ78))+(AQ83))+(AQ88))+(AQ93))+(AQ98))+(AQ103))+(AQ108))+(AQ113))+(AQ118))+(AQ123)</f>
        <v>29186.600000000002</v>
      </c>
      <c r="AR124" s="5">
        <f t="shared" si="99"/>
        <v>-14869.07</v>
      </c>
      <c r="AS124" s="6">
        <f t="shared" si="100"/>
        <v>0.49055148595588394</v>
      </c>
      <c r="AT124" s="5">
        <f t="shared" si="101"/>
        <v>237948.16</v>
      </c>
      <c r="AU124" s="5">
        <f t="shared" si="102"/>
        <v>321052.59999999998</v>
      </c>
      <c r="AV124" s="5">
        <f t="shared" si="103"/>
        <v>-83104.439999999973</v>
      </c>
      <c r="AW124" s="6">
        <f t="shared" si="104"/>
        <v>0.74115007945738498</v>
      </c>
    </row>
    <row r="125" spans="1:49">
      <c r="A125" s="1" t="s">
        <v>137</v>
      </c>
      <c r="B125" s="5">
        <f>(B12)-(B124)</f>
        <v>9.750000000001819</v>
      </c>
      <c r="C125" s="5">
        <f>(C12)-(C124)</f>
        <v>0</v>
      </c>
      <c r="D125" s="5">
        <f t="shared" si="79"/>
        <v>9.750000000001819</v>
      </c>
      <c r="E125" s="6" t="str">
        <f t="shared" si="80"/>
        <v/>
      </c>
      <c r="F125" s="5">
        <f>(F12)-(F124)</f>
        <v>-328.41999999999462</v>
      </c>
      <c r="G125" s="5">
        <f>(G12)-(G124)</f>
        <v>0</v>
      </c>
      <c r="H125" s="5">
        <f t="shared" si="81"/>
        <v>-328.41999999999462</v>
      </c>
      <c r="I125" s="6" t="str">
        <f t="shared" si="82"/>
        <v/>
      </c>
      <c r="J125" s="5">
        <f>(J12)-(J124)</f>
        <v>8.0099999999911233</v>
      </c>
      <c r="K125" s="5">
        <f>(K12)-(K124)</f>
        <v>0</v>
      </c>
      <c r="L125" s="5">
        <f t="shared" si="83"/>
        <v>8.0099999999911233</v>
      </c>
      <c r="M125" s="6" t="str">
        <f t="shared" si="84"/>
        <v/>
      </c>
      <c r="N125" s="5">
        <f>(N12)-(N124)</f>
        <v>4.7799999999915599</v>
      </c>
      <c r="O125" s="5">
        <f>(O12)-(O124)</f>
        <v>0</v>
      </c>
      <c r="P125" s="5">
        <f t="shared" si="85"/>
        <v>4.7799999999915599</v>
      </c>
      <c r="Q125" s="6" t="str">
        <f t="shared" si="86"/>
        <v/>
      </c>
      <c r="R125" s="5">
        <f>(R12)-(R124)</f>
        <v>3.1500000000014552</v>
      </c>
      <c r="S125" s="5">
        <f>(S12)-(S124)</f>
        <v>0</v>
      </c>
      <c r="T125" s="5">
        <f t="shared" si="87"/>
        <v>3.1500000000014552</v>
      </c>
      <c r="U125" s="6" t="str">
        <f t="shared" si="88"/>
        <v/>
      </c>
      <c r="V125" s="5">
        <f>(V12)-(V124)</f>
        <v>-8545.5400000000045</v>
      </c>
      <c r="W125" s="5">
        <f>(W12)-(W124)</f>
        <v>0</v>
      </c>
      <c r="X125" s="5">
        <f t="shared" si="89"/>
        <v>-8545.5400000000045</v>
      </c>
      <c r="Y125" s="6" t="str">
        <f t="shared" si="90"/>
        <v/>
      </c>
      <c r="Z125" s="5">
        <f>(Z12)-(Z124)</f>
        <v>3.7600000000002183</v>
      </c>
      <c r="AA125" s="5">
        <f>(AA12)-(AA124)</f>
        <v>0</v>
      </c>
      <c r="AB125" s="5">
        <f t="shared" si="91"/>
        <v>3.7600000000002183</v>
      </c>
      <c r="AC125" s="6" t="str">
        <f t="shared" si="92"/>
        <v/>
      </c>
      <c r="AD125" s="5">
        <f>(AD12)-(AD124)</f>
        <v>-3746.2599999999984</v>
      </c>
      <c r="AE125" s="5">
        <f>(AE12)-(AE124)</f>
        <v>0</v>
      </c>
      <c r="AF125" s="5">
        <f t="shared" si="93"/>
        <v>-3746.2599999999984</v>
      </c>
      <c r="AG125" s="6" t="str">
        <f t="shared" si="94"/>
        <v/>
      </c>
      <c r="AH125" s="5">
        <f>(AH12)-(AH124)</f>
        <v>1923.4000000000051</v>
      </c>
      <c r="AI125" s="5">
        <f>(AI12)-(AI124)</f>
        <v>0</v>
      </c>
      <c r="AJ125" s="5">
        <f t="shared" si="95"/>
        <v>1923.4000000000051</v>
      </c>
      <c r="AK125" s="6" t="str">
        <f t="shared" si="96"/>
        <v/>
      </c>
      <c r="AL125" s="5">
        <f>(AL12)-(AL124)</f>
        <v>5305.8100000000013</v>
      </c>
      <c r="AM125" s="5">
        <f>(AM12)-(AM124)</f>
        <v>0</v>
      </c>
      <c r="AN125" s="5">
        <f t="shared" si="97"/>
        <v>5305.8100000000013</v>
      </c>
      <c r="AO125" s="6" t="str">
        <f t="shared" si="98"/>
        <v/>
      </c>
      <c r="AP125" s="5">
        <f>(AP12)-(AP124)</f>
        <v>5295.6099999999969</v>
      </c>
      <c r="AQ125" s="5">
        <f>(AQ12)-(AQ124)</f>
        <v>0</v>
      </c>
      <c r="AR125" s="5">
        <f t="shared" si="99"/>
        <v>5295.6099999999969</v>
      </c>
      <c r="AS125" s="6" t="str">
        <f t="shared" si="100"/>
        <v/>
      </c>
      <c r="AT125" s="5">
        <f t="shared" si="101"/>
        <v>-65.950000000008004</v>
      </c>
      <c r="AU125" s="5">
        <f t="shared" si="102"/>
        <v>0</v>
      </c>
      <c r="AV125" s="5">
        <f t="shared" si="103"/>
        <v>-65.950000000008004</v>
      </c>
      <c r="AW125" s="6" t="str">
        <f t="shared" si="104"/>
        <v/>
      </c>
    </row>
    <row r="126" spans="1:49">
      <c r="A126" s="1" t="s">
        <v>138</v>
      </c>
      <c r="B126" s="5">
        <f>(B125)+(0)</f>
        <v>9.750000000001819</v>
      </c>
      <c r="C126" s="5">
        <f>(C125)+(0)</f>
        <v>0</v>
      </c>
      <c r="D126" s="5">
        <f t="shared" si="79"/>
        <v>9.750000000001819</v>
      </c>
      <c r="E126" s="6" t="str">
        <f t="shared" si="80"/>
        <v/>
      </c>
      <c r="F126" s="5">
        <f>(F125)+(0)</f>
        <v>-328.41999999999462</v>
      </c>
      <c r="G126" s="5">
        <f>(G125)+(0)</f>
        <v>0</v>
      </c>
      <c r="H126" s="5">
        <f t="shared" si="81"/>
        <v>-328.41999999999462</v>
      </c>
      <c r="I126" s="6" t="str">
        <f t="shared" si="82"/>
        <v/>
      </c>
      <c r="J126" s="5">
        <f>(J125)+(0)</f>
        <v>8.0099999999911233</v>
      </c>
      <c r="K126" s="5">
        <f>(K125)+(0)</f>
        <v>0</v>
      </c>
      <c r="L126" s="5">
        <f t="shared" si="83"/>
        <v>8.0099999999911233</v>
      </c>
      <c r="M126" s="6" t="str">
        <f t="shared" si="84"/>
        <v/>
      </c>
      <c r="N126" s="5">
        <f>(N125)+(0)</f>
        <v>4.7799999999915599</v>
      </c>
      <c r="O126" s="5">
        <f>(O125)+(0)</f>
        <v>0</v>
      </c>
      <c r="P126" s="5">
        <f t="shared" si="85"/>
        <v>4.7799999999915599</v>
      </c>
      <c r="Q126" s="6" t="str">
        <f t="shared" si="86"/>
        <v/>
      </c>
      <c r="R126" s="5">
        <f>(R125)+(0)</f>
        <v>3.1500000000014552</v>
      </c>
      <c r="S126" s="5">
        <f>(S125)+(0)</f>
        <v>0</v>
      </c>
      <c r="T126" s="5">
        <f t="shared" si="87"/>
        <v>3.1500000000014552</v>
      </c>
      <c r="U126" s="6" t="str">
        <f t="shared" si="88"/>
        <v/>
      </c>
      <c r="V126" s="5">
        <f>(V125)+(0)</f>
        <v>-8545.5400000000045</v>
      </c>
      <c r="W126" s="5">
        <f>(W125)+(0)</f>
        <v>0</v>
      </c>
      <c r="X126" s="5">
        <f t="shared" si="89"/>
        <v>-8545.5400000000045</v>
      </c>
      <c r="Y126" s="6" t="str">
        <f t="shared" si="90"/>
        <v/>
      </c>
      <c r="Z126" s="5">
        <f>(Z125)+(0)</f>
        <v>3.7600000000002183</v>
      </c>
      <c r="AA126" s="5">
        <f>(AA125)+(0)</f>
        <v>0</v>
      </c>
      <c r="AB126" s="5">
        <f t="shared" si="91"/>
        <v>3.7600000000002183</v>
      </c>
      <c r="AC126" s="6" t="str">
        <f t="shared" si="92"/>
        <v/>
      </c>
      <c r="AD126" s="5">
        <f>(AD125)+(0)</f>
        <v>-3746.2599999999984</v>
      </c>
      <c r="AE126" s="5">
        <f>(AE125)+(0)</f>
        <v>0</v>
      </c>
      <c r="AF126" s="5">
        <f t="shared" si="93"/>
        <v>-3746.2599999999984</v>
      </c>
      <c r="AG126" s="6" t="str">
        <f t="shared" si="94"/>
        <v/>
      </c>
      <c r="AH126" s="5">
        <f>(AH125)+(0)</f>
        <v>1923.4000000000051</v>
      </c>
      <c r="AI126" s="5">
        <f>(AI125)+(0)</f>
        <v>0</v>
      </c>
      <c r="AJ126" s="5">
        <f t="shared" si="95"/>
        <v>1923.4000000000051</v>
      </c>
      <c r="AK126" s="6" t="str">
        <f t="shared" si="96"/>
        <v/>
      </c>
      <c r="AL126" s="5">
        <f>(AL125)+(0)</f>
        <v>5305.8100000000013</v>
      </c>
      <c r="AM126" s="5">
        <f>(AM125)+(0)</f>
        <v>0</v>
      </c>
      <c r="AN126" s="5">
        <f t="shared" si="97"/>
        <v>5305.8100000000013</v>
      </c>
      <c r="AO126" s="6" t="str">
        <f t="shared" si="98"/>
        <v/>
      </c>
      <c r="AP126" s="5">
        <f>(AP125)+(0)</f>
        <v>5295.6099999999969</v>
      </c>
      <c r="AQ126" s="5">
        <f>(AQ125)+(0)</f>
        <v>0</v>
      </c>
      <c r="AR126" s="5">
        <f t="shared" si="99"/>
        <v>5295.6099999999969</v>
      </c>
      <c r="AS126" s="6" t="str">
        <f t="shared" si="100"/>
        <v/>
      </c>
      <c r="AT126" s="5">
        <f t="shared" si="101"/>
        <v>-65.950000000008004</v>
      </c>
      <c r="AU126" s="5">
        <f t="shared" si="102"/>
        <v>0</v>
      </c>
      <c r="AV126" s="5">
        <f t="shared" si="103"/>
        <v>-65.950000000008004</v>
      </c>
      <c r="AW126" s="6" t="str">
        <f t="shared" si="104"/>
        <v/>
      </c>
    </row>
    <row r="127" spans="1:49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</row>
    <row r="130" spans="1:49">
      <c r="A130" s="11" t="s">
        <v>139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</row>
  </sheetData>
  <mergeCells count="16">
    <mergeCell ref="AP5:AS5"/>
    <mergeCell ref="AT5:AW5"/>
    <mergeCell ref="A130:AW130"/>
    <mergeCell ref="A1:AW1"/>
    <mergeCell ref="A2:AW2"/>
    <mergeCell ref="A3:AW3"/>
    <mergeCell ref="V5:Y5"/>
    <mergeCell ref="Z5:AC5"/>
    <mergeCell ref="AD5:AG5"/>
    <mergeCell ref="AH5:AK5"/>
    <mergeCell ref="AL5:AO5"/>
    <mergeCell ref="B5:E5"/>
    <mergeCell ref="F5:I5"/>
    <mergeCell ref="J5:M5"/>
    <mergeCell ref="N5:Q5"/>
    <mergeCell ref="R5:U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3E84DAAD572049970A785D5B607B18" ma:contentTypeVersion="" ma:contentTypeDescription="Create a new document." ma:contentTypeScope="" ma:versionID="6983216a39e1fc7140d8ee3af9a3c13d">
  <xsd:schema xmlns:xsd="http://www.w3.org/2001/XMLSchema" xmlns:xs="http://www.w3.org/2001/XMLSchema" xmlns:p="http://schemas.microsoft.com/office/2006/metadata/properties" xmlns:ns2="3E1FEAD8-66C8-4AC3-9426-453F41452C22" xmlns:ns3="3e1fead8-66c8-4ac3-9426-453f41452c22" xmlns:ns4="8eea684e-2edb-475f-bb3f-7f71668ef51e" targetNamespace="http://schemas.microsoft.com/office/2006/metadata/properties" ma:root="true" ma:fieldsID="075dd802353ce2fce5f5d999e9db5408" ns2:_="" ns3:_="" ns4:_="">
    <xsd:import namespace="3E1FEAD8-66C8-4AC3-9426-453F41452C22"/>
    <xsd:import namespace="3e1fead8-66c8-4ac3-9426-453f41452c22"/>
    <xsd:import namespace="8eea684e-2edb-475f-bb3f-7f71668ef5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1FEAD8-66C8-4AC3-9426-453F41452C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1fead8-66c8-4ac3-9426-453f41452c22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a684e-2edb-475f-bb3f-7f71668ef51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3AD2FD-CFAE-43CD-920D-2A80A44B2EFF}"/>
</file>

<file path=customXml/itemProps2.xml><?xml version="1.0" encoding="utf-8"?>
<ds:datastoreItem xmlns:ds="http://schemas.openxmlformats.org/officeDocument/2006/customXml" ds:itemID="{D0C821B3-0CC3-42D2-A8F8-B1CCB9710107}"/>
</file>

<file path=customXml/itemProps3.xml><?xml version="1.0" encoding="utf-8"?>
<ds:datastoreItem xmlns:ds="http://schemas.openxmlformats.org/officeDocument/2006/customXml" ds:itemID="{E960D18B-EDE3-4F00-B4FE-8A3D2FD63A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cp:revision/>
  <dcterms:created xsi:type="dcterms:W3CDTF">2021-09-07T12:13:33Z</dcterms:created>
  <dcterms:modified xsi:type="dcterms:W3CDTF">2021-09-07T12:20:43Z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0x010100133E84DAAD572049970A785D5B607B18</vt:lpwstr>
  </property>
</Properties>
</file>