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cy Brown\Desktop\"/>
    </mc:Choice>
  </mc:AlternateContent>
  <xr:revisionPtr revIDLastSave="0" documentId="13_ncr:1_{561E46BA-4033-47F4-89F7-2767DCCB897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Budget vs. Actu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0" i="1" l="1"/>
  <c r="C120" i="1"/>
  <c r="O120" i="1" s="1"/>
  <c r="O119" i="1"/>
  <c r="Q119" i="1" s="1"/>
  <c r="M119" i="1"/>
  <c r="J119" i="1"/>
  <c r="L119" i="1" s="1"/>
  <c r="I119" i="1"/>
  <c r="H119" i="1"/>
  <c r="F119" i="1"/>
  <c r="E119" i="1"/>
  <c r="B119" i="1"/>
  <c r="K118" i="1"/>
  <c r="J118" i="1"/>
  <c r="G118" i="1"/>
  <c r="I118" i="1" s="1"/>
  <c r="F118" i="1"/>
  <c r="C118" i="1"/>
  <c r="B118" i="1"/>
  <c r="K117" i="1"/>
  <c r="J117" i="1"/>
  <c r="G117" i="1"/>
  <c r="G120" i="1" s="1"/>
  <c r="I120" i="1" s="1"/>
  <c r="F117" i="1"/>
  <c r="F120" i="1" s="1"/>
  <c r="C117" i="1"/>
  <c r="B117" i="1"/>
  <c r="O116" i="1"/>
  <c r="Q116" i="1" s="1"/>
  <c r="N116" i="1"/>
  <c r="M116" i="1"/>
  <c r="L116" i="1"/>
  <c r="I116" i="1"/>
  <c r="H116" i="1"/>
  <c r="E116" i="1"/>
  <c r="D116" i="1"/>
  <c r="K115" i="1"/>
  <c r="D115" i="1"/>
  <c r="C115" i="1"/>
  <c r="B115" i="1"/>
  <c r="O114" i="1"/>
  <c r="Q114" i="1" s="1"/>
  <c r="M114" i="1"/>
  <c r="J114" i="1"/>
  <c r="N114" i="1" s="1"/>
  <c r="P114" i="1" s="1"/>
  <c r="I114" i="1"/>
  <c r="H114" i="1"/>
  <c r="F114" i="1"/>
  <c r="E114" i="1"/>
  <c r="D114" i="1"/>
  <c r="O113" i="1"/>
  <c r="N113" i="1"/>
  <c r="P113" i="1" s="1"/>
  <c r="K113" i="1"/>
  <c r="M113" i="1" s="1"/>
  <c r="J113" i="1"/>
  <c r="L113" i="1" s="1"/>
  <c r="H113" i="1"/>
  <c r="G113" i="1"/>
  <c r="F113" i="1"/>
  <c r="C113" i="1"/>
  <c r="D113" i="1" s="1"/>
  <c r="O112" i="1"/>
  <c r="N112" i="1"/>
  <c r="P112" i="1" s="1"/>
  <c r="M112" i="1"/>
  <c r="K112" i="1"/>
  <c r="J112" i="1"/>
  <c r="G112" i="1"/>
  <c r="F112" i="1"/>
  <c r="E112" i="1"/>
  <c r="D112" i="1"/>
  <c r="C112" i="1"/>
  <c r="Q111" i="1"/>
  <c r="O111" i="1"/>
  <c r="N111" i="1"/>
  <c r="P111" i="1" s="1"/>
  <c r="M111" i="1"/>
  <c r="L111" i="1"/>
  <c r="I111" i="1"/>
  <c r="H111" i="1"/>
  <c r="E111" i="1"/>
  <c r="D111" i="1"/>
  <c r="J110" i="1"/>
  <c r="G110" i="1"/>
  <c r="F110" i="1"/>
  <c r="N110" i="1" s="1"/>
  <c r="B110" i="1"/>
  <c r="P109" i="1"/>
  <c r="O109" i="1"/>
  <c r="Q109" i="1" s="1"/>
  <c r="N109" i="1"/>
  <c r="K109" i="1"/>
  <c r="L109" i="1" s="1"/>
  <c r="G109" i="1"/>
  <c r="E109" i="1"/>
  <c r="D109" i="1"/>
  <c r="C109" i="1"/>
  <c r="N108" i="1"/>
  <c r="M108" i="1"/>
  <c r="L108" i="1"/>
  <c r="K108" i="1"/>
  <c r="K110" i="1" s="1"/>
  <c r="M110" i="1" s="1"/>
  <c r="G108" i="1"/>
  <c r="H108" i="1" s="1"/>
  <c r="C108" i="1"/>
  <c r="Q107" i="1"/>
  <c r="P107" i="1"/>
  <c r="O107" i="1"/>
  <c r="N107" i="1"/>
  <c r="M107" i="1"/>
  <c r="L107" i="1"/>
  <c r="I107" i="1"/>
  <c r="H107" i="1"/>
  <c r="E107" i="1"/>
  <c r="D107" i="1"/>
  <c r="L106" i="1"/>
  <c r="K106" i="1"/>
  <c r="M106" i="1" s="1"/>
  <c r="J106" i="1"/>
  <c r="F106" i="1"/>
  <c r="O105" i="1"/>
  <c r="Q105" i="1" s="1"/>
  <c r="N105" i="1"/>
  <c r="P105" i="1" s="1"/>
  <c r="M105" i="1"/>
  <c r="L105" i="1"/>
  <c r="I105" i="1"/>
  <c r="H105" i="1"/>
  <c r="E105" i="1"/>
  <c r="B105" i="1"/>
  <c r="D105" i="1" s="1"/>
  <c r="O104" i="1"/>
  <c r="N104" i="1"/>
  <c r="P104" i="1" s="1"/>
  <c r="M104" i="1"/>
  <c r="L104" i="1"/>
  <c r="K104" i="1"/>
  <c r="I104" i="1"/>
  <c r="H104" i="1"/>
  <c r="G104" i="1"/>
  <c r="E104" i="1"/>
  <c r="D104" i="1"/>
  <c r="C104" i="1"/>
  <c r="B104" i="1"/>
  <c r="K103" i="1"/>
  <c r="M103" i="1" s="1"/>
  <c r="G103" i="1"/>
  <c r="H103" i="1" s="1"/>
  <c r="C103" i="1"/>
  <c r="B103" i="1"/>
  <c r="Q102" i="1"/>
  <c r="O102" i="1"/>
  <c r="N102" i="1"/>
  <c r="P102" i="1" s="1"/>
  <c r="M102" i="1"/>
  <c r="L102" i="1"/>
  <c r="I102" i="1"/>
  <c r="H102" i="1"/>
  <c r="E102" i="1"/>
  <c r="D102" i="1"/>
  <c r="K101" i="1"/>
  <c r="G101" i="1"/>
  <c r="C101" i="1"/>
  <c r="O100" i="1"/>
  <c r="Q100" i="1" s="1"/>
  <c r="M100" i="1"/>
  <c r="L100" i="1"/>
  <c r="J100" i="1"/>
  <c r="I100" i="1"/>
  <c r="F100" i="1"/>
  <c r="H100" i="1" s="1"/>
  <c r="E100" i="1"/>
  <c r="B100" i="1"/>
  <c r="K99" i="1"/>
  <c r="J99" i="1"/>
  <c r="I99" i="1"/>
  <c r="H99" i="1"/>
  <c r="G99" i="1"/>
  <c r="F99" i="1"/>
  <c r="C99" i="1"/>
  <c r="O99" i="1" s="1"/>
  <c r="B99" i="1"/>
  <c r="K98" i="1"/>
  <c r="J98" i="1"/>
  <c r="I98" i="1"/>
  <c r="H98" i="1"/>
  <c r="G98" i="1"/>
  <c r="F98" i="1"/>
  <c r="C98" i="1"/>
  <c r="O98" i="1" s="1"/>
  <c r="B98" i="1"/>
  <c r="Q97" i="1"/>
  <c r="P97" i="1"/>
  <c r="O97" i="1"/>
  <c r="N97" i="1"/>
  <c r="M97" i="1"/>
  <c r="L97" i="1"/>
  <c r="I97" i="1"/>
  <c r="H97" i="1"/>
  <c r="E97" i="1"/>
  <c r="D97" i="1"/>
  <c r="K96" i="1"/>
  <c r="F96" i="1"/>
  <c r="C96" i="1"/>
  <c r="B96" i="1"/>
  <c r="O95" i="1"/>
  <c r="Q95" i="1" s="1"/>
  <c r="M95" i="1"/>
  <c r="L95" i="1"/>
  <c r="J95" i="1"/>
  <c r="N95" i="1" s="1"/>
  <c r="P95" i="1" s="1"/>
  <c r="I95" i="1"/>
  <c r="H95" i="1"/>
  <c r="F95" i="1"/>
  <c r="E95" i="1"/>
  <c r="D95" i="1"/>
  <c r="B95" i="1"/>
  <c r="K94" i="1"/>
  <c r="M94" i="1" s="1"/>
  <c r="J94" i="1"/>
  <c r="G94" i="1"/>
  <c r="F94" i="1"/>
  <c r="C94" i="1"/>
  <c r="E94" i="1" s="1"/>
  <c r="B94" i="1"/>
  <c r="N94" i="1" s="1"/>
  <c r="O93" i="1"/>
  <c r="Q93" i="1" s="1"/>
  <c r="K93" i="1"/>
  <c r="M93" i="1" s="1"/>
  <c r="J93" i="1"/>
  <c r="I93" i="1"/>
  <c r="H93" i="1"/>
  <c r="G93" i="1"/>
  <c r="F93" i="1"/>
  <c r="C93" i="1"/>
  <c r="E93" i="1" s="1"/>
  <c r="B93" i="1"/>
  <c r="N93" i="1" s="1"/>
  <c r="P93" i="1" s="1"/>
  <c r="P92" i="1"/>
  <c r="O92" i="1"/>
  <c r="Q92" i="1" s="1"/>
  <c r="N92" i="1"/>
  <c r="M92" i="1"/>
  <c r="L92" i="1"/>
  <c r="I92" i="1"/>
  <c r="H92" i="1"/>
  <c r="E92" i="1"/>
  <c r="D92" i="1"/>
  <c r="K91" i="1"/>
  <c r="C91" i="1"/>
  <c r="B91" i="1"/>
  <c r="Q90" i="1"/>
  <c r="O90" i="1"/>
  <c r="M90" i="1"/>
  <c r="J90" i="1"/>
  <c r="L90" i="1" s="1"/>
  <c r="I90" i="1"/>
  <c r="H90" i="1"/>
  <c r="F90" i="1"/>
  <c r="E90" i="1"/>
  <c r="B90" i="1"/>
  <c r="N90" i="1" s="1"/>
  <c r="P90" i="1" s="1"/>
  <c r="L89" i="1"/>
  <c r="K89" i="1"/>
  <c r="M89" i="1" s="1"/>
  <c r="J89" i="1"/>
  <c r="G89" i="1"/>
  <c r="F89" i="1"/>
  <c r="N89" i="1" s="1"/>
  <c r="D89" i="1"/>
  <c r="C89" i="1"/>
  <c r="E89" i="1" s="1"/>
  <c r="B89" i="1"/>
  <c r="O88" i="1"/>
  <c r="N88" i="1"/>
  <c r="P88" i="1" s="1"/>
  <c r="L88" i="1"/>
  <c r="K88" i="1"/>
  <c r="M88" i="1" s="1"/>
  <c r="J88" i="1"/>
  <c r="G88" i="1"/>
  <c r="F88" i="1"/>
  <c r="D88" i="1"/>
  <c r="C88" i="1"/>
  <c r="E88" i="1" s="1"/>
  <c r="B88" i="1"/>
  <c r="P87" i="1"/>
  <c r="O87" i="1"/>
  <c r="Q87" i="1" s="1"/>
  <c r="N87" i="1"/>
  <c r="M87" i="1"/>
  <c r="L87" i="1"/>
  <c r="I87" i="1"/>
  <c r="H87" i="1"/>
  <c r="E87" i="1"/>
  <c r="D87" i="1"/>
  <c r="J86" i="1"/>
  <c r="H86" i="1"/>
  <c r="F86" i="1"/>
  <c r="I86" i="1" s="1"/>
  <c r="B86" i="1"/>
  <c r="N86" i="1" s="1"/>
  <c r="N85" i="1"/>
  <c r="P85" i="1" s="1"/>
  <c r="M85" i="1"/>
  <c r="L85" i="1"/>
  <c r="K85" i="1"/>
  <c r="I85" i="1"/>
  <c r="H85" i="1"/>
  <c r="G85" i="1"/>
  <c r="D85" i="1"/>
  <c r="C85" i="1"/>
  <c r="O85" i="1" s="1"/>
  <c r="Q85" i="1" s="1"/>
  <c r="N84" i="1"/>
  <c r="M84" i="1"/>
  <c r="K84" i="1"/>
  <c r="I84" i="1"/>
  <c r="H84" i="1"/>
  <c r="G84" i="1"/>
  <c r="G86" i="1" s="1"/>
  <c r="C84" i="1"/>
  <c r="C86" i="1" s="1"/>
  <c r="P83" i="1"/>
  <c r="O83" i="1"/>
  <c r="Q83" i="1" s="1"/>
  <c r="N83" i="1"/>
  <c r="M83" i="1"/>
  <c r="L83" i="1"/>
  <c r="I83" i="1"/>
  <c r="H83" i="1"/>
  <c r="E83" i="1"/>
  <c r="D83" i="1"/>
  <c r="F82" i="1"/>
  <c r="B82" i="1"/>
  <c r="Q81" i="1"/>
  <c r="O81" i="1"/>
  <c r="M81" i="1"/>
  <c r="L81" i="1"/>
  <c r="J81" i="1"/>
  <c r="I81" i="1"/>
  <c r="H81" i="1"/>
  <c r="F81" i="1"/>
  <c r="E81" i="1"/>
  <c r="B81" i="1"/>
  <c r="N81" i="1" s="1"/>
  <c r="P81" i="1" s="1"/>
  <c r="K80" i="1"/>
  <c r="J80" i="1"/>
  <c r="L80" i="1" s="1"/>
  <c r="I80" i="1"/>
  <c r="G80" i="1"/>
  <c r="O80" i="1" s="1"/>
  <c r="F80" i="1"/>
  <c r="C80" i="1"/>
  <c r="B80" i="1"/>
  <c r="K79" i="1"/>
  <c r="J79" i="1"/>
  <c r="I79" i="1"/>
  <c r="G79" i="1"/>
  <c r="F79" i="1"/>
  <c r="H79" i="1" s="1"/>
  <c r="C79" i="1"/>
  <c r="B79" i="1"/>
  <c r="O78" i="1"/>
  <c r="Q78" i="1" s="1"/>
  <c r="N78" i="1"/>
  <c r="P78" i="1" s="1"/>
  <c r="M78" i="1"/>
  <c r="L78" i="1"/>
  <c r="I78" i="1"/>
  <c r="H78" i="1"/>
  <c r="E78" i="1"/>
  <c r="D78" i="1"/>
  <c r="K77" i="1"/>
  <c r="G77" i="1"/>
  <c r="C77" i="1"/>
  <c r="Q76" i="1"/>
  <c r="O76" i="1"/>
  <c r="M76" i="1"/>
  <c r="J76" i="1"/>
  <c r="L76" i="1" s="1"/>
  <c r="I76" i="1"/>
  <c r="H76" i="1"/>
  <c r="F76" i="1"/>
  <c r="E76" i="1"/>
  <c r="B76" i="1"/>
  <c r="K75" i="1"/>
  <c r="J75" i="1"/>
  <c r="I75" i="1"/>
  <c r="H75" i="1"/>
  <c r="G75" i="1"/>
  <c r="F75" i="1"/>
  <c r="C75" i="1"/>
  <c r="O75" i="1" s="1"/>
  <c r="B75" i="1"/>
  <c r="N74" i="1"/>
  <c r="P74" i="1" s="1"/>
  <c r="K74" i="1"/>
  <c r="J74" i="1"/>
  <c r="G74" i="1"/>
  <c r="F74" i="1"/>
  <c r="F77" i="1" s="1"/>
  <c r="H77" i="1" s="1"/>
  <c r="C74" i="1"/>
  <c r="O74" i="1" s="1"/>
  <c r="B74" i="1"/>
  <c r="Q73" i="1"/>
  <c r="P73" i="1"/>
  <c r="O73" i="1"/>
  <c r="N73" i="1"/>
  <c r="M73" i="1"/>
  <c r="L73" i="1"/>
  <c r="I73" i="1"/>
  <c r="H73" i="1"/>
  <c r="E73" i="1"/>
  <c r="D73" i="1"/>
  <c r="J72" i="1"/>
  <c r="F72" i="1"/>
  <c r="D72" i="1"/>
  <c r="C72" i="1"/>
  <c r="B72" i="1"/>
  <c r="N71" i="1"/>
  <c r="K71" i="1"/>
  <c r="M71" i="1" s="1"/>
  <c r="I71" i="1"/>
  <c r="G71" i="1"/>
  <c r="E71" i="1"/>
  <c r="D71" i="1"/>
  <c r="C71" i="1"/>
  <c r="O70" i="1"/>
  <c r="Q70" i="1" s="1"/>
  <c r="N70" i="1"/>
  <c r="M70" i="1"/>
  <c r="K70" i="1"/>
  <c r="L70" i="1" s="1"/>
  <c r="G70" i="1"/>
  <c r="C70" i="1"/>
  <c r="D70" i="1" s="1"/>
  <c r="Q69" i="1"/>
  <c r="O69" i="1"/>
  <c r="N69" i="1"/>
  <c r="P69" i="1" s="1"/>
  <c r="M69" i="1"/>
  <c r="L69" i="1"/>
  <c r="I69" i="1"/>
  <c r="H69" i="1"/>
  <c r="E69" i="1"/>
  <c r="D69" i="1"/>
  <c r="G68" i="1"/>
  <c r="B68" i="1"/>
  <c r="O67" i="1"/>
  <c r="Q67" i="1" s="1"/>
  <c r="M67" i="1"/>
  <c r="L67" i="1"/>
  <c r="J67" i="1"/>
  <c r="J68" i="1" s="1"/>
  <c r="I67" i="1"/>
  <c r="F67" i="1"/>
  <c r="E67" i="1"/>
  <c r="D67" i="1"/>
  <c r="B67" i="1"/>
  <c r="K66" i="1"/>
  <c r="M66" i="1" s="1"/>
  <c r="J66" i="1"/>
  <c r="I66" i="1"/>
  <c r="G66" i="1"/>
  <c r="H66" i="1" s="1"/>
  <c r="F66" i="1"/>
  <c r="C66" i="1"/>
  <c r="B66" i="1"/>
  <c r="N66" i="1" s="1"/>
  <c r="M65" i="1"/>
  <c r="L65" i="1"/>
  <c r="K65" i="1"/>
  <c r="J65" i="1"/>
  <c r="I65" i="1"/>
  <c r="G65" i="1"/>
  <c r="H65" i="1" s="1"/>
  <c r="F65" i="1"/>
  <c r="E65" i="1"/>
  <c r="D65" i="1"/>
  <c r="C65" i="1"/>
  <c r="B65" i="1"/>
  <c r="N65" i="1" s="1"/>
  <c r="Q64" i="1"/>
  <c r="O64" i="1"/>
  <c r="P64" i="1" s="1"/>
  <c r="N64" i="1"/>
  <c r="M64" i="1"/>
  <c r="L64" i="1"/>
  <c r="I64" i="1"/>
  <c r="H64" i="1"/>
  <c r="E64" i="1"/>
  <c r="D64" i="1"/>
  <c r="G63" i="1"/>
  <c r="I63" i="1" s="1"/>
  <c r="F63" i="1"/>
  <c r="O62" i="1"/>
  <c r="Q62" i="1" s="1"/>
  <c r="M62" i="1"/>
  <c r="J62" i="1"/>
  <c r="L62" i="1" s="1"/>
  <c r="I62" i="1"/>
  <c r="H62" i="1"/>
  <c r="F62" i="1"/>
  <c r="E62" i="1"/>
  <c r="B62" i="1"/>
  <c r="D62" i="1" s="1"/>
  <c r="K61" i="1"/>
  <c r="M61" i="1" s="1"/>
  <c r="J61" i="1"/>
  <c r="H61" i="1"/>
  <c r="G61" i="1"/>
  <c r="I61" i="1" s="1"/>
  <c r="F61" i="1"/>
  <c r="C61" i="1"/>
  <c r="B61" i="1"/>
  <c r="L60" i="1"/>
  <c r="K60" i="1"/>
  <c r="J60" i="1"/>
  <c r="H60" i="1"/>
  <c r="G60" i="1"/>
  <c r="I60" i="1" s="1"/>
  <c r="F60" i="1"/>
  <c r="D60" i="1"/>
  <c r="C60" i="1"/>
  <c r="B60" i="1"/>
  <c r="P59" i="1"/>
  <c r="O59" i="1"/>
  <c r="Q59" i="1" s="1"/>
  <c r="N59" i="1"/>
  <c r="M59" i="1"/>
  <c r="L59" i="1"/>
  <c r="I59" i="1"/>
  <c r="H59" i="1"/>
  <c r="E59" i="1"/>
  <c r="D59" i="1"/>
  <c r="J58" i="1"/>
  <c r="F58" i="1"/>
  <c r="H58" i="1" s="1"/>
  <c r="Q57" i="1"/>
  <c r="O57" i="1"/>
  <c r="M57" i="1"/>
  <c r="L57" i="1"/>
  <c r="J57" i="1"/>
  <c r="I57" i="1"/>
  <c r="H57" i="1"/>
  <c r="F57" i="1"/>
  <c r="E57" i="1"/>
  <c r="B57" i="1"/>
  <c r="K56" i="1"/>
  <c r="M56" i="1" s="1"/>
  <c r="J56" i="1"/>
  <c r="G56" i="1"/>
  <c r="I56" i="1" s="1"/>
  <c r="F56" i="1"/>
  <c r="H56" i="1" s="1"/>
  <c r="C56" i="1"/>
  <c r="O56" i="1" s="1"/>
  <c r="B56" i="1"/>
  <c r="K55" i="1"/>
  <c r="J55" i="1"/>
  <c r="L55" i="1" s="1"/>
  <c r="G55" i="1"/>
  <c r="G58" i="1" s="1"/>
  <c r="F55" i="1"/>
  <c r="H55" i="1" s="1"/>
  <c r="C55" i="1"/>
  <c r="B55" i="1"/>
  <c r="Q54" i="1"/>
  <c r="O54" i="1"/>
  <c r="N54" i="1"/>
  <c r="P54" i="1" s="1"/>
  <c r="M54" i="1"/>
  <c r="L54" i="1"/>
  <c r="I54" i="1"/>
  <c r="H54" i="1"/>
  <c r="E54" i="1"/>
  <c r="D54" i="1"/>
  <c r="K53" i="1"/>
  <c r="I53" i="1"/>
  <c r="H53" i="1"/>
  <c r="G53" i="1"/>
  <c r="C53" i="1"/>
  <c r="O52" i="1"/>
  <c r="Q52" i="1" s="1"/>
  <c r="M52" i="1"/>
  <c r="L52" i="1"/>
  <c r="J52" i="1"/>
  <c r="I52" i="1"/>
  <c r="F52" i="1"/>
  <c r="H52" i="1" s="1"/>
  <c r="E52" i="1"/>
  <c r="B52" i="1"/>
  <c r="K51" i="1"/>
  <c r="J51" i="1"/>
  <c r="I51" i="1"/>
  <c r="H51" i="1"/>
  <c r="G51" i="1"/>
  <c r="F51" i="1"/>
  <c r="C51" i="1"/>
  <c r="O51" i="1" s="1"/>
  <c r="B51" i="1"/>
  <c r="K50" i="1"/>
  <c r="J50" i="1"/>
  <c r="I50" i="1"/>
  <c r="H50" i="1"/>
  <c r="G50" i="1"/>
  <c r="F50" i="1"/>
  <c r="F53" i="1" s="1"/>
  <c r="C50" i="1"/>
  <c r="O50" i="1" s="1"/>
  <c r="B50" i="1"/>
  <c r="Q49" i="1"/>
  <c r="P49" i="1"/>
  <c r="O49" i="1"/>
  <c r="N49" i="1"/>
  <c r="M49" i="1"/>
  <c r="L49" i="1"/>
  <c r="I49" i="1"/>
  <c r="H49" i="1"/>
  <c r="E49" i="1"/>
  <c r="D49" i="1"/>
  <c r="J48" i="1"/>
  <c r="G48" i="1"/>
  <c r="B48" i="1"/>
  <c r="Q47" i="1"/>
  <c r="P47" i="1"/>
  <c r="O47" i="1"/>
  <c r="M47" i="1"/>
  <c r="J47" i="1"/>
  <c r="L47" i="1" s="1"/>
  <c r="I47" i="1"/>
  <c r="H47" i="1"/>
  <c r="F47" i="1"/>
  <c r="N47" i="1" s="1"/>
  <c r="E47" i="1"/>
  <c r="D47" i="1"/>
  <c r="B47" i="1"/>
  <c r="M46" i="1"/>
  <c r="L46" i="1"/>
  <c r="K46" i="1"/>
  <c r="J46" i="1"/>
  <c r="G46" i="1"/>
  <c r="F46" i="1"/>
  <c r="H46" i="1" s="1"/>
  <c r="E46" i="1"/>
  <c r="D46" i="1"/>
  <c r="C46" i="1"/>
  <c r="O46" i="1" s="1"/>
  <c r="B46" i="1"/>
  <c r="N45" i="1"/>
  <c r="M45" i="1"/>
  <c r="L45" i="1"/>
  <c r="K45" i="1"/>
  <c r="K48" i="1" s="1"/>
  <c r="M48" i="1" s="1"/>
  <c r="J45" i="1"/>
  <c r="G45" i="1"/>
  <c r="I45" i="1" s="1"/>
  <c r="F45" i="1"/>
  <c r="E45" i="1"/>
  <c r="D45" i="1"/>
  <c r="C45" i="1"/>
  <c r="C48" i="1" s="1"/>
  <c r="B45" i="1"/>
  <c r="O44" i="1"/>
  <c r="Q44" i="1" s="1"/>
  <c r="N44" i="1"/>
  <c r="P44" i="1" s="1"/>
  <c r="M44" i="1"/>
  <c r="L44" i="1"/>
  <c r="I44" i="1"/>
  <c r="H44" i="1"/>
  <c r="E44" i="1"/>
  <c r="D44" i="1"/>
  <c r="G43" i="1"/>
  <c r="O42" i="1"/>
  <c r="Q42" i="1" s="1"/>
  <c r="M42" i="1"/>
  <c r="J42" i="1"/>
  <c r="L42" i="1" s="1"/>
  <c r="I42" i="1"/>
  <c r="F42" i="1"/>
  <c r="H42" i="1" s="1"/>
  <c r="E42" i="1"/>
  <c r="B42" i="1"/>
  <c r="N42" i="1" s="1"/>
  <c r="P42" i="1" s="1"/>
  <c r="K41" i="1"/>
  <c r="M41" i="1" s="1"/>
  <c r="J41" i="1"/>
  <c r="L41" i="1" s="1"/>
  <c r="G41" i="1"/>
  <c r="I41" i="1" s="1"/>
  <c r="F41" i="1"/>
  <c r="H41" i="1" s="1"/>
  <c r="E41" i="1"/>
  <c r="D41" i="1"/>
  <c r="C41" i="1"/>
  <c r="O41" i="1" s="1"/>
  <c r="B41" i="1"/>
  <c r="K40" i="1"/>
  <c r="K43" i="1" s="1"/>
  <c r="J40" i="1"/>
  <c r="G40" i="1"/>
  <c r="I40" i="1" s="1"/>
  <c r="F40" i="1"/>
  <c r="H40" i="1" s="1"/>
  <c r="C40" i="1"/>
  <c r="B40" i="1"/>
  <c r="D40" i="1" s="1"/>
  <c r="O39" i="1"/>
  <c r="Q39" i="1" s="1"/>
  <c r="N39" i="1"/>
  <c r="P39" i="1" s="1"/>
  <c r="M39" i="1"/>
  <c r="L39" i="1"/>
  <c r="I39" i="1"/>
  <c r="H39" i="1"/>
  <c r="E39" i="1"/>
  <c r="D39" i="1"/>
  <c r="G38" i="1"/>
  <c r="F38" i="1"/>
  <c r="H38" i="1" s="1"/>
  <c r="O37" i="1"/>
  <c r="Q37" i="1" s="1"/>
  <c r="M37" i="1"/>
  <c r="L37" i="1"/>
  <c r="J37" i="1"/>
  <c r="I37" i="1"/>
  <c r="F37" i="1"/>
  <c r="H37" i="1" s="1"/>
  <c r="E37" i="1"/>
  <c r="D37" i="1"/>
  <c r="B37" i="1"/>
  <c r="N37" i="1" s="1"/>
  <c r="P37" i="1" s="1"/>
  <c r="L36" i="1"/>
  <c r="K36" i="1"/>
  <c r="J36" i="1"/>
  <c r="I36" i="1"/>
  <c r="G36" i="1"/>
  <c r="F36" i="1"/>
  <c r="H36" i="1" s="1"/>
  <c r="C36" i="1"/>
  <c r="B36" i="1"/>
  <c r="N36" i="1" s="1"/>
  <c r="K35" i="1"/>
  <c r="J35" i="1"/>
  <c r="J38" i="1" s="1"/>
  <c r="I35" i="1"/>
  <c r="G35" i="1"/>
  <c r="F35" i="1"/>
  <c r="H35" i="1" s="1"/>
  <c r="D35" i="1"/>
  <c r="C35" i="1"/>
  <c r="B35" i="1"/>
  <c r="Q34" i="1"/>
  <c r="O34" i="1"/>
  <c r="N34" i="1"/>
  <c r="P34" i="1" s="1"/>
  <c r="M34" i="1"/>
  <c r="L34" i="1"/>
  <c r="I34" i="1"/>
  <c r="H34" i="1"/>
  <c r="E34" i="1"/>
  <c r="D34" i="1"/>
  <c r="M33" i="1"/>
  <c r="K33" i="1"/>
  <c r="F33" i="1"/>
  <c r="O32" i="1"/>
  <c r="Q32" i="1" s="1"/>
  <c r="N32" i="1"/>
  <c r="P32" i="1" s="1"/>
  <c r="M32" i="1"/>
  <c r="J32" i="1"/>
  <c r="J33" i="1" s="1"/>
  <c r="L33" i="1" s="1"/>
  <c r="I32" i="1"/>
  <c r="H32" i="1"/>
  <c r="F32" i="1"/>
  <c r="E32" i="1"/>
  <c r="D32" i="1"/>
  <c r="B32" i="1"/>
  <c r="B33" i="1" s="1"/>
  <c r="N31" i="1"/>
  <c r="K31" i="1"/>
  <c r="G31" i="1"/>
  <c r="H31" i="1" s="1"/>
  <c r="E31" i="1"/>
  <c r="D31" i="1"/>
  <c r="C31" i="1"/>
  <c r="N30" i="1"/>
  <c r="M30" i="1"/>
  <c r="K30" i="1"/>
  <c r="L30" i="1" s="1"/>
  <c r="G30" i="1"/>
  <c r="E30" i="1"/>
  <c r="D30" i="1"/>
  <c r="C30" i="1"/>
  <c r="C33" i="1" s="1"/>
  <c r="Q29" i="1"/>
  <c r="O29" i="1"/>
  <c r="N29" i="1"/>
  <c r="P29" i="1" s="1"/>
  <c r="M29" i="1"/>
  <c r="L29" i="1"/>
  <c r="I29" i="1"/>
  <c r="H29" i="1"/>
  <c r="E29" i="1"/>
  <c r="D29" i="1"/>
  <c r="G28" i="1"/>
  <c r="F28" i="1"/>
  <c r="H28" i="1" s="1"/>
  <c r="O27" i="1"/>
  <c r="Q27" i="1" s="1"/>
  <c r="M27" i="1"/>
  <c r="L27" i="1"/>
  <c r="J27" i="1"/>
  <c r="I27" i="1"/>
  <c r="F27" i="1"/>
  <c r="H27" i="1" s="1"/>
  <c r="E27" i="1"/>
  <c r="B27" i="1"/>
  <c r="N27" i="1" s="1"/>
  <c r="P27" i="1" s="1"/>
  <c r="K26" i="1"/>
  <c r="J26" i="1"/>
  <c r="L26" i="1" s="1"/>
  <c r="I26" i="1"/>
  <c r="G26" i="1"/>
  <c r="H26" i="1" s="1"/>
  <c r="F26" i="1"/>
  <c r="C26" i="1"/>
  <c r="D26" i="1" s="1"/>
  <c r="B26" i="1"/>
  <c r="L25" i="1"/>
  <c r="K25" i="1"/>
  <c r="J25" i="1"/>
  <c r="I25" i="1"/>
  <c r="G25" i="1"/>
  <c r="H25" i="1" s="1"/>
  <c r="F25" i="1"/>
  <c r="C25" i="1"/>
  <c r="B25" i="1"/>
  <c r="Q24" i="1"/>
  <c r="O24" i="1"/>
  <c r="P24" i="1" s="1"/>
  <c r="N24" i="1"/>
  <c r="M24" i="1"/>
  <c r="L24" i="1"/>
  <c r="I24" i="1"/>
  <c r="H24" i="1"/>
  <c r="E24" i="1"/>
  <c r="D24" i="1"/>
  <c r="K23" i="1"/>
  <c r="F23" i="1"/>
  <c r="O22" i="1"/>
  <c r="Q22" i="1" s="1"/>
  <c r="M22" i="1"/>
  <c r="L22" i="1"/>
  <c r="J22" i="1"/>
  <c r="I22" i="1"/>
  <c r="H22" i="1"/>
  <c r="F22" i="1"/>
  <c r="E22" i="1"/>
  <c r="B22" i="1"/>
  <c r="N22" i="1" s="1"/>
  <c r="P22" i="1" s="1"/>
  <c r="K21" i="1"/>
  <c r="J21" i="1"/>
  <c r="L21" i="1" s="1"/>
  <c r="I21" i="1"/>
  <c r="H21" i="1"/>
  <c r="G21" i="1"/>
  <c r="F21" i="1"/>
  <c r="C21" i="1"/>
  <c r="B21" i="1"/>
  <c r="K20" i="1"/>
  <c r="J20" i="1"/>
  <c r="I20" i="1"/>
  <c r="H20" i="1"/>
  <c r="G20" i="1"/>
  <c r="G23" i="1" s="1"/>
  <c r="I23" i="1" s="1"/>
  <c r="F20" i="1"/>
  <c r="C20" i="1"/>
  <c r="B20" i="1"/>
  <c r="Q19" i="1"/>
  <c r="P19" i="1"/>
  <c r="O19" i="1"/>
  <c r="N19" i="1"/>
  <c r="M19" i="1"/>
  <c r="L19" i="1"/>
  <c r="I19" i="1"/>
  <c r="H19" i="1"/>
  <c r="E19" i="1"/>
  <c r="D19" i="1"/>
  <c r="K18" i="1"/>
  <c r="C18" i="1"/>
  <c r="Q17" i="1"/>
  <c r="O17" i="1"/>
  <c r="M17" i="1"/>
  <c r="J17" i="1"/>
  <c r="L17" i="1" s="1"/>
  <c r="I17" i="1"/>
  <c r="H17" i="1"/>
  <c r="F17" i="1"/>
  <c r="E17" i="1"/>
  <c r="B17" i="1"/>
  <c r="K16" i="1"/>
  <c r="M16" i="1" s="1"/>
  <c r="J16" i="1"/>
  <c r="L16" i="1" s="1"/>
  <c r="G16" i="1"/>
  <c r="I16" i="1" s="1"/>
  <c r="F16" i="1"/>
  <c r="C16" i="1"/>
  <c r="B16" i="1"/>
  <c r="K15" i="1"/>
  <c r="J15" i="1"/>
  <c r="L15" i="1" s="1"/>
  <c r="I15" i="1"/>
  <c r="G15" i="1"/>
  <c r="F15" i="1"/>
  <c r="F18" i="1" s="1"/>
  <c r="C15" i="1"/>
  <c r="B15" i="1"/>
  <c r="B18" i="1" s="1"/>
  <c r="O14" i="1"/>
  <c r="P14" i="1" s="1"/>
  <c r="N14" i="1"/>
  <c r="M14" i="1"/>
  <c r="L14" i="1"/>
  <c r="I14" i="1"/>
  <c r="H14" i="1"/>
  <c r="E14" i="1"/>
  <c r="D14" i="1"/>
  <c r="K11" i="1"/>
  <c r="J11" i="1"/>
  <c r="L11" i="1" s="1"/>
  <c r="C11" i="1"/>
  <c r="B11" i="1"/>
  <c r="B12" i="1" s="1"/>
  <c r="Q10" i="1"/>
  <c r="O10" i="1"/>
  <c r="M10" i="1"/>
  <c r="L10" i="1"/>
  <c r="J10" i="1"/>
  <c r="I10" i="1"/>
  <c r="H10" i="1"/>
  <c r="F10" i="1"/>
  <c r="E10" i="1"/>
  <c r="B10" i="1"/>
  <c r="N10" i="1" s="1"/>
  <c r="P10" i="1" s="1"/>
  <c r="N9" i="1"/>
  <c r="M9" i="1"/>
  <c r="K9" i="1"/>
  <c r="J9" i="1"/>
  <c r="L9" i="1" s="1"/>
  <c r="G9" i="1"/>
  <c r="O9" i="1" s="1"/>
  <c r="F9" i="1"/>
  <c r="E9" i="1"/>
  <c r="C9" i="1"/>
  <c r="B9" i="1"/>
  <c r="D9" i="1" s="1"/>
  <c r="M8" i="1"/>
  <c r="L8" i="1"/>
  <c r="K8" i="1"/>
  <c r="J8" i="1"/>
  <c r="I8" i="1"/>
  <c r="G8" i="1"/>
  <c r="O8" i="1" s="1"/>
  <c r="F8" i="1"/>
  <c r="F11" i="1" s="1"/>
  <c r="E8" i="1"/>
  <c r="D8" i="1"/>
  <c r="C8" i="1"/>
  <c r="B8" i="1"/>
  <c r="E18" i="1" l="1"/>
  <c r="D18" i="1"/>
  <c r="O33" i="1"/>
  <c r="E33" i="1"/>
  <c r="M23" i="1"/>
  <c r="M18" i="1"/>
  <c r="Q9" i="1"/>
  <c r="P9" i="1"/>
  <c r="D33" i="1"/>
  <c r="I48" i="1"/>
  <c r="O21" i="1"/>
  <c r="E21" i="1"/>
  <c r="N8" i="1"/>
  <c r="P8" i="1" s="1"/>
  <c r="J12" i="1"/>
  <c r="B23" i="1"/>
  <c r="N20" i="1"/>
  <c r="P20" i="1" s="1"/>
  <c r="D20" i="1"/>
  <c r="H9" i="1"/>
  <c r="M11" i="1"/>
  <c r="K12" i="1"/>
  <c r="G18" i="1"/>
  <c r="N16" i="1"/>
  <c r="P16" i="1" s="1"/>
  <c r="D16" i="1"/>
  <c r="O16" i="1"/>
  <c r="O20" i="1"/>
  <c r="E20" i="1"/>
  <c r="M21" i="1"/>
  <c r="C28" i="1"/>
  <c r="C121" i="1" s="1"/>
  <c r="O25" i="1"/>
  <c r="Q25" i="1" s="1"/>
  <c r="E25" i="1"/>
  <c r="M26" i="1"/>
  <c r="I28" i="1"/>
  <c r="L32" i="1"/>
  <c r="O36" i="1"/>
  <c r="Q36" i="1" s="1"/>
  <c r="E36" i="1"/>
  <c r="D42" i="1"/>
  <c r="I46" i="1"/>
  <c r="I89" i="1"/>
  <c r="O89" i="1"/>
  <c r="Q89" i="1" s="1"/>
  <c r="G91" i="1"/>
  <c r="Q104" i="1"/>
  <c r="H11" i="1"/>
  <c r="F12" i="1"/>
  <c r="H18" i="1"/>
  <c r="B28" i="1"/>
  <c r="N25" i="1"/>
  <c r="O31" i="1"/>
  <c r="M79" i="1"/>
  <c r="K82" i="1"/>
  <c r="M82" i="1" s="1"/>
  <c r="O79" i="1"/>
  <c r="O94" i="1"/>
  <c r="I94" i="1"/>
  <c r="H94" i="1"/>
  <c r="N118" i="1"/>
  <c r="E118" i="1"/>
  <c r="D118" i="1"/>
  <c r="G11" i="1"/>
  <c r="H8" i="1"/>
  <c r="I9" i="1"/>
  <c r="H15" i="1"/>
  <c r="E16" i="1"/>
  <c r="J18" i="1"/>
  <c r="N21" i="1"/>
  <c r="P21" i="1" s="1"/>
  <c r="D21" i="1"/>
  <c r="H23" i="1"/>
  <c r="D25" i="1"/>
  <c r="N26" i="1"/>
  <c r="P26" i="1" s="1"/>
  <c r="I30" i="1"/>
  <c r="G33" i="1"/>
  <c r="I33" i="1" s="1"/>
  <c r="H30" i="1"/>
  <c r="D36" i="1"/>
  <c r="J43" i="1"/>
  <c r="L43" i="1" s="1"/>
  <c r="O48" i="1"/>
  <c r="E48" i="1"/>
  <c r="N48" i="1"/>
  <c r="P48" i="1" s="1"/>
  <c r="M51" i="1"/>
  <c r="L51" i="1"/>
  <c r="O60" i="1"/>
  <c r="E60" i="1"/>
  <c r="C63" i="1"/>
  <c r="L61" i="1"/>
  <c r="O71" i="1"/>
  <c r="H71" i="1"/>
  <c r="K86" i="1"/>
  <c r="M86" i="1" s="1"/>
  <c r="L84" i="1"/>
  <c r="H89" i="1"/>
  <c r="N103" i="1"/>
  <c r="P103" i="1" s="1"/>
  <c r="D103" i="1"/>
  <c r="B106" i="1"/>
  <c r="O103" i="1"/>
  <c r="E103" i="1"/>
  <c r="C106" i="1"/>
  <c r="N17" i="1"/>
  <c r="P17" i="1" s="1"/>
  <c r="D17" i="1"/>
  <c r="N33" i="1"/>
  <c r="P33" i="1" s="1"/>
  <c r="N55" i="1"/>
  <c r="D55" i="1"/>
  <c r="B58" i="1"/>
  <c r="Q80" i="1"/>
  <c r="O11" i="1"/>
  <c r="E11" i="1"/>
  <c r="C12" i="1"/>
  <c r="Q14" i="1"/>
  <c r="M15" i="1"/>
  <c r="H16" i="1"/>
  <c r="D22" i="1"/>
  <c r="D27" i="1"/>
  <c r="I31" i="1"/>
  <c r="K38" i="1"/>
  <c r="M35" i="1"/>
  <c r="C43" i="1"/>
  <c r="O40" i="1"/>
  <c r="M40" i="1"/>
  <c r="F48" i="1"/>
  <c r="H48" i="1" s="1"/>
  <c r="H45" i="1"/>
  <c r="N52" i="1"/>
  <c r="P52" i="1" s="1"/>
  <c r="D52" i="1"/>
  <c r="E55" i="1"/>
  <c r="C58" i="1"/>
  <c r="O55" i="1"/>
  <c r="Q55" i="1" s="1"/>
  <c r="K63" i="1"/>
  <c r="H67" i="1"/>
  <c r="N67" i="1"/>
  <c r="P67" i="1" s="1"/>
  <c r="F68" i="1"/>
  <c r="E74" i="1"/>
  <c r="D74" i="1"/>
  <c r="B77" i="1"/>
  <c r="O77" i="1"/>
  <c r="E77" i="1"/>
  <c r="N100" i="1"/>
  <c r="P100" i="1" s="1"/>
  <c r="D100" i="1"/>
  <c r="O101" i="1"/>
  <c r="O26" i="1"/>
  <c r="E26" i="1"/>
  <c r="N11" i="1"/>
  <c r="P11" i="1" s="1"/>
  <c r="O15" i="1"/>
  <c r="Q15" i="1" s="1"/>
  <c r="J28" i="1"/>
  <c r="L28" i="1" s="1"/>
  <c r="O30" i="1"/>
  <c r="M31" i="1"/>
  <c r="L31" i="1"/>
  <c r="B38" i="1"/>
  <c r="N35" i="1"/>
  <c r="L35" i="1"/>
  <c r="N41" i="1"/>
  <c r="P41" i="1" s="1"/>
  <c r="N46" i="1"/>
  <c r="P46" i="1" s="1"/>
  <c r="L48" i="1"/>
  <c r="Q74" i="1"/>
  <c r="F43" i="1"/>
  <c r="H43" i="1" s="1"/>
  <c r="N56" i="1"/>
  <c r="P56" i="1" s="1"/>
  <c r="D56" i="1"/>
  <c r="N57" i="1"/>
  <c r="P57" i="1" s="1"/>
  <c r="D57" i="1"/>
  <c r="N61" i="1"/>
  <c r="D61" i="1"/>
  <c r="B43" i="1"/>
  <c r="N40" i="1"/>
  <c r="P40" i="1" s="1"/>
  <c r="L40" i="1"/>
  <c r="N51" i="1"/>
  <c r="E51" i="1"/>
  <c r="D51" i="1"/>
  <c r="E56" i="1"/>
  <c r="O61" i="1"/>
  <c r="Q61" i="1" s="1"/>
  <c r="E61" i="1"/>
  <c r="D11" i="1"/>
  <c r="N15" i="1"/>
  <c r="D15" i="1"/>
  <c r="J23" i="1"/>
  <c r="L23" i="1" s="1"/>
  <c r="L20" i="1"/>
  <c r="E15" i="1"/>
  <c r="O18" i="1"/>
  <c r="M20" i="1"/>
  <c r="C23" i="1"/>
  <c r="K28" i="1"/>
  <c r="M28" i="1" s="1"/>
  <c r="M25" i="1"/>
  <c r="C38" i="1"/>
  <c r="O35" i="1"/>
  <c r="Q35" i="1" s="1"/>
  <c r="E35" i="1"/>
  <c r="M36" i="1"/>
  <c r="I38" i="1"/>
  <c r="E40" i="1"/>
  <c r="L79" i="1"/>
  <c r="J82" i="1"/>
  <c r="D91" i="1"/>
  <c r="Q88" i="1"/>
  <c r="E91" i="1"/>
  <c r="M75" i="1"/>
  <c r="L75" i="1"/>
  <c r="O45" i="1"/>
  <c r="Q45" i="1" s="1"/>
  <c r="B53" i="1"/>
  <c r="E53" i="1" s="1"/>
  <c r="J53" i="1"/>
  <c r="L53" i="1" s="1"/>
  <c r="I58" i="1"/>
  <c r="N62" i="1"/>
  <c r="P62" i="1" s="1"/>
  <c r="O66" i="1"/>
  <c r="Q66" i="1" s="1"/>
  <c r="L66" i="1"/>
  <c r="P70" i="1"/>
  <c r="L71" i="1"/>
  <c r="N79" i="1"/>
  <c r="P79" i="1" s="1"/>
  <c r="D79" i="1"/>
  <c r="D84" i="1"/>
  <c r="O84" i="1"/>
  <c r="Q84" i="1" s="1"/>
  <c r="L86" i="1"/>
  <c r="F91" i="1"/>
  <c r="H91" i="1" s="1"/>
  <c r="N96" i="1"/>
  <c r="C110" i="1"/>
  <c r="O108" i="1"/>
  <c r="E108" i="1"/>
  <c r="D108" i="1"/>
  <c r="I110" i="1"/>
  <c r="Q112" i="1"/>
  <c r="Q113" i="1"/>
  <c r="L114" i="1"/>
  <c r="N117" i="1"/>
  <c r="P117" i="1" s="1"/>
  <c r="E117" i="1"/>
  <c r="D117" i="1"/>
  <c r="B120" i="1"/>
  <c r="M98" i="1"/>
  <c r="L98" i="1"/>
  <c r="J101" i="1"/>
  <c r="D10" i="1"/>
  <c r="O53" i="1"/>
  <c r="I55" i="1"/>
  <c r="D66" i="1"/>
  <c r="E70" i="1"/>
  <c r="K72" i="1"/>
  <c r="M72" i="1" s="1"/>
  <c r="E75" i="1"/>
  <c r="D75" i="1"/>
  <c r="N75" i="1"/>
  <c r="P75" i="1" s="1"/>
  <c r="E79" i="1"/>
  <c r="C82" i="1"/>
  <c r="D82" i="1" s="1"/>
  <c r="N80" i="1"/>
  <c r="P80" i="1" s="1"/>
  <c r="D80" i="1"/>
  <c r="E84" i="1"/>
  <c r="I88" i="1"/>
  <c r="O96" i="1"/>
  <c r="Q96" i="1" s="1"/>
  <c r="E96" i="1"/>
  <c r="N98" i="1"/>
  <c r="P98" i="1" s="1"/>
  <c r="E98" i="1"/>
  <c r="D98" i="1"/>
  <c r="B101" i="1"/>
  <c r="M99" i="1"/>
  <c r="L99" i="1"/>
  <c r="L103" i="1"/>
  <c r="I109" i="1"/>
  <c r="H109" i="1"/>
  <c r="H110" i="1"/>
  <c r="M80" i="1"/>
  <c r="P84" i="1"/>
  <c r="D48" i="1"/>
  <c r="D50" i="1"/>
  <c r="L50" i="1"/>
  <c r="J63" i="1"/>
  <c r="L63" i="1" s="1"/>
  <c r="E66" i="1"/>
  <c r="G72" i="1"/>
  <c r="I70" i="1"/>
  <c r="H74" i="1"/>
  <c r="I77" i="1"/>
  <c r="E80" i="1"/>
  <c r="H88" i="1"/>
  <c r="J91" i="1"/>
  <c r="L91" i="1" s="1"/>
  <c r="D96" i="1"/>
  <c r="L110" i="1"/>
  <c r="F115" i="1"/>
  <c r="H112" i="1"/>
  <c r="H120" i="1"/>
  <c r="M118" i="1"/>
  <c r="L118" i="1"/>
  <c r="E86" i="1"/>
  <c r="O86" i="1"/>
  <c r="Q86" i="1" s="1"/>
  <c r="E50" i="1"/>
  <c r="M50" i="1"/>
  <c r="M55" i="1"/>
  <c r="K58" i="1"/>
  <c r="M58" i="1" s="1"/>
  <c r="L56" i="1"/>
  <c r="M60" i="1"/>
  <c r="K68" i="1"/>
  <c r="M68" i="1" s="1"/>
  <c r="H70" i="1"/>
  <c r="N72" i="1"/>
  <c r="I74" i="1"/>
  <c r="G82" i="1"/>
  <c r="I82" i="1" s="1"/>
  <c r="H80" i="1"/>
  <c r="D81" i="1"/>
  <c r="G96" i="1"/>
  <c r="I96" i="1" s="1"/>
  <c r="H96" i="1"/>
  <c r="N99" i="1"/>
  <c r="P99" i="1" s="1"/>
  <c r="E99" i="1"/>
  <c r="D99" i="1"/>
  <c r="G115" i="1"/>
  <c r="I115" i="1" s="1"/>
  <c r="I112" i="1"/>
  <c r="I113" i="1"/>
  <c r="N50" i="1"/>
  <c r="B63" i="1"/>
  <c r="N60" i="1"/>
  <c r="P60" i="1" s="1"/>
  <c r="H63" i="1"/>
  <c r="C68" i="1"/>
  <c r="O65" i="1"/>
  <c r="Q65" i="1" s="1"/>
  <c r="E72" i="1"/>
  <c r="M74" i="1"/>
  <c r="L74" i="1"/>
  <c r="J77" i="1"/>
  <c r="N76" i="1"/>
  <c r="P76" i="1" s="1"/>
  <c r="D76" i="1"/>
  <c r="D86" i="1"/>
  <c r="O91" i="1"/>
  <c r="J96" i="1"/>
  <c r="L96" i="1" s="1"/>
  <c r="J115" i="1"/>
  <c r="L115" i="1" s="1"/>
  <c r="E115" i="1"/>
  <c r="M117" i="1"/>
  <c r="L117" i="1"/>
  <c r="J120" i="1"/>
  <c r="L120" i="1" s="1"/>
  <c r="N119" i="1"/>
  <c r="P119" i="1" s="1"/>
  <c r="D119" i="1"/>
  <c r="E85" i="1"/>
  <c r="I103" i="1"/>
  <c r="I108" i="1"/>
  <c r="M109" i="1"/>
  <c r="L112" i="1"/>
  <c r="E113" i="1"/>
  <c r="O117" i="1"/>
  <c r="O118" i="1"/>
  <c r="Q118" i="1" s="1"/>
  <c r="P116" i="1"/>
  <c r="H117" i="1"/>
  <c r="H118" i="1"/>
  <c r="I117" i="1"/>
  <c r="E120" i="1"/>
  <c r="F101" i="1"/>
  <c r="H101" i="1" s="1"/>
  <c r="D90" i="1"/>
  <c r="D93" i="1"/>
  <c r="L93" i="1"/>
  <c r="D94" i="1"/>
  <c r="L94" i="1"/>
  <c r="G106" i="1"/>
  <c r="I106" i="1" s="1"/>
  <c r="Q108" i="1" l="1"/>
  <c r="P108" i="1"/>
  <c r="C122" i="1"/>
  <c r="E12" i="1"/>
  <c r="P94" i="1"/>
  <c r="Q94" i="1"/>
  <c r="E110" i="1"/>
  <c r="O110" i="1"/>
  <c r="N91" i="1"/>
  <c r="P91" i="1" s="1"/>
  <c r="N68" i="1"/>
  <c r="P68" i="1" s="1"/>
  <c r="H68" i="1"/>
  <c r="L38" i="1"/>
  <c r="M38" i="1"/>
  <c r="P89" i="1"/>
  <c r="F121" i="1"/>
  <c r="I101" i="1"/>
  <c r="L82" i="1"/>
  <c r="N82" i="1"/>
  <c r="P66" i="1"/>
  <c r="M43" i="1"/>
  <c r="Q46" i="1"/>
  <c r="Q11" i="1"/>
  <c r="E63" i="1"/>
  <c r="O63" i="1"/>
  <c r="Q48" i="1"/>
  <c r="G12" i="1"/>
  <c r="O12" i="1" s="1"/>
  <c r="Q12" i="1" s="1"/>
  <c r="I11" i="1"/>
  <c r="Q79" i="1"/>
  <c r="F122" i="1"/>
  <c r="G121" i="1"/>
  <c r="I121" i="1" s="1"/>
  <c r="I18" i="1"/>
  <c r="N23" i="1"/>
  <c r="D23" i="1"/>
  <c r="M101" i="1"/>
  <c r="L101" i="1"/>
  <c r="O106" i="1"/>
  <c r="Q106" i="1" s="1"/>
  <c r="E106" i="1"/>
  <c r="M12" i="1"/>
  <c r="H115" i="1"/>
  <c r="N115" i="1"/>
  <c r="P115" i="1" s="1"/>
  <c r="N101" i="1"/>
  <c r="P101" i="1" s="1"/>
  <c r="D101" i="1"/>
  <c r="H82" i="1"/>
  <c r="L68" i="1"/>
  <c r="E38" i="1"/>
  <c r="O38" i="1"/>
  <c r="P61" i="1"/>
  <c r="D110" i="1"/>
  <c r="Q77" i="1"/>
  <c r="M63" i="1"/>
  <c r="D58" i="1"/>
  <c r="N58" i="1"/>
  <c r="Q60" i="1"/>
  <c r="M115" i="1"/>
  <c r="D12" i="1"/>
  <c r="Q33" i="1"/>
  <c r="Q50" i="1"/>
  <c r="P50" i="1"/>
  <c r="L58" i="1"/>
  <c r="Q99" i="1"/>
  <c r="P35" i="1"/>
  <c r="Q75" i="1"/>
  <c r="Q103" i="1"/>
  <c r="M53" i="1"/>
  <c r="J121" i="1"/>
  <c r="L18" i="1"/>
  <c r="P118" i="1"/>
  <c r="Q31" i="1"/>
  <c r="P31" i="1"/>
  <c r="N12" i="1"/>
  <c r="Q101" i="1"/>
  <c r="Q71" i="1"/>
  <c r="P71" i="1"/>
  <c r="Q30" i="1"/>
  <c r="P30" i="1"/>
  <c r="L77" i="1"/>
  <c r="M77" i="1"/>
  <c r="P96" i="1"/>
  <c r="K121" i="1"/>
  <c r="M121" i="1" s="1"/>
  <c r="E28" i="1"/>
  <c r="O28" i="1"/>
  <c r="Q28" i="1" s="1"/>
  <c r="O115" i="1"/>
  <c r="M91" i="1"/>
  <c r="P65" i="1"/>
  <c r="H106" i="1"/>
  <c r="I72" i="1"/>
  <c r="H72" i="1"/>
  <c r="I68" i="1"/>
  <c r="N120" i="1"/>
  <c r="D120" i="1"/>
  <c r="Q41" i="1"/>
  <c r="P51" i="1"/>
  <c r="Q51" i="1"/>
  <c r="Q98" i="1"/>
  <c r="D38" i="1"/>
  <c r="N38" i="1"/>
  <c r="P38" i="1" s="1"/>
  <c r="Q26" i="1"/>
  <c r="N77" i="1"/>
  <c r="P77" i="1" s="1"/>
  <c r="D77" i="1"/>
  <c r="O58" i="1"/>
  <c r="Q58" i="1" s="1"/>
  <c r="E58" i="1"/>
  <c r="Q40" i="1"/>
  <c r="P55" i="1"/>
  <c r="P45" i="1"/>
  <c r="L72" i="1"/>
  <c r="P25" i="1"/>
  <c r="M96" i="1"/>
  <c r="Q20" i="1"/>
  <c r="P36" i="1"/>
  <c r="Q21" i="1"/>
  <c r="N18" i="1"/>
  <c r="P18" i="1" s="1"/>
  <c r="E68" i="1"/>
  <c r="D68" i="1"/>
  <c r="O68" i="1"/>
  <c r="Q53" i="1"/>
  <c r="N53" i="1"/>
  <c r="P53" i="1" s="1"/>
  <c r="D53" i="1"/>
  <c r="D43" i="1"/>
  <c r="N43" i="1"/>
  <c r="J122" i="1"/>
  <c r="L12" i="1"/>
  <c r="D63" i="1"/>
  <c r="N63" i="1"/>
  <c r="P63" i="1" s="1"/>
  <c r="Q117" i="1"/>
  <c r="Q91" i="1"/>
  <c r="O72" i="1"/>
  <c r="Q72" i="1" s="1"/>
  <c r="O82" i="1"/>
  <c r="Q82" i="1" s="1"/>
  <c r="E82" i="1"/>
  <c r="M120" i="1"/>
  <c r="O23" i="1"/>
  <c r="Q23" i="1" s="1"/>
  <c r="E23" i="1"/>
  <c r="P15" i="1"/>
  <c r="P86" i="1"/>
  <c r="E101" i="1"/>
  <c r="O43" i="1"/>
  <c r="Q43" i="1" s="1"/>
  <c r="E43" i="1"/>
  <c r="I43" i="1"/>
  <c r="N106" i="1"/>
  <c r="D106" i="1"/>
  <c r="N28" i="1"/>
  <c r="D28" i="1"/>
  <c r="I91" i="1"/>
  <c r="Q16" i="1"/>
  <c r="H33" i="1"/>
  <c r="Q56" i="1"/>
  <c r="Q8" i="1"/>
  <c r="B121" i="1"/>
  <c r="J123" i="1" l="1"/>
  <c r="Q18" i="1"/>
  <c r="P43" i="1"/>
  <c r="L121" i="1"/>
  <c r="P82" i="1"/>
  <c r="O122" i="1"/>
  <c r="Q122" i="1" s="1"/>
  <c r="E122" i="1"/>
  <c r="C123" i="1"/>
  <c r="P72" i="1"/>
  <c r="P23" i="1"/>
  <c r="F123" i="1"/>
  <c r="P28" i="1"/>
  <c r="P12" i="1"/>
  <c r="Q38" i="1"/>
  <c r="Q63" i="1"/>
  <c r="Q110" i="1"/>
  <c r="P110" i="1"/>
  <c r="P120" i="1"/>
  <c r="Q120" i="1"/>
  <c r="N121" i="1"/>
  <c r="P121" i="1" s="1"/>
  <c r="D121" i="1"/>
  <c r="B122" i="1"/>
  <c r="K122" i="1"/>
  <c r="H121" i="1"/>
  <c r="E121" i="1"/>
  <c r="G122" i="1"/>
  <c r="I12" i="1"/>
  <c r="P106" i="1"/>
  <c r="Q68" i="1"/>
  <c r="Q115" i="1"/>
  <c r="P58" i="1"/>
  <c r="H12" i="1"/>
  <c r="O121" i="1"/>
  <c r="Q121" i="1" l="1"/>
  <c r="N122" i="1"/>
  <c r="P122" i="1" s="1"/>
  <c r="D122" i="1"/>
  <c r="B123" i="1"/>
  <c r="L123" i="1"/>
  <c r="I122" i="1"/>
  <c r="G123" i="1"/>
  <c r="I123" i="1" s="1"/>
  <c r="H122" i="1"/>
  <c r="M122" i="1"/>
  <c r="K123" i="1"/>
  <c r="M123" i="1" s="1"/>
  <c r="E123" i="1"/>
  <c r="L122" i="1"/>
  <c r="H123" i="1" l="1"/>
  <c r="N123" i="1"/>
  <c r="D123" i="1"/>
  <c r="O123" i="1"/>
  <c r="Q123" i="1" s="1"/>
  <c r="P123" i="1" l="1"/>
</calcChain>
</file>

<file path=xl/sharedStrings.xml><?xml version="1.0" encoding="utf-8"?>
<sst xmlns="http://schemas.openxmlformats.org/spreadsheetml/2006/main" count="141" uniqueCount="129">
  <si>
    <t>Oct 2020</t>
  </si>
  <si>
    <t>Nov 2020</t>
  </si>
  <si>
    <t>Dec 2020</t>
  </si>
  <si>
    <t>Total</t>
  </si>
  <si>
    <t>Actual</t>
  </si>
  <si>
    <t>Budget</t>
  </si>
  <si>
    <t>% of Budget</t>
  </si>
  <si>
    <t>Revenue</t>
  </si>
  <si>
    <t xml:space="preserve">   4010-00 MRS Grant</t>
  </si>
  <si>
    <t xml:space="preserve">   4020-00 BSBP Grant</t>
  </si>
  <si>
    <t xml:space="preserve">   4900-00 Interest Income</t>
  </si>
  <si>
    <t>Total Revenue</t>
  </si>
  <si>
    <t>Gross Profit</t>
  </si>
  <si>
    <t>Expenditures</t>
  </si>
  <si>
    <t xml:space="preserve">   5000-00 Wage Expense</t>
  </si>
  <si>
    <t xml:space="preserve">      5000-01 Wages-MRS</t>
  </si>
  <si>
    <t xml:space="preserve">      5000-02 Wages-BSBP</t>
  </si>
  <si>
    <t xml:space="preserve">      5000-99 Wages-Unallocated</t>
  </si>
  <si>
    <t xml:space="preserve">   Total 5000-00 Wage Expense</t>
  </si>
  <si>
    <t xml:space="preserve">   5100-00 Social Security Expense</t>
  </si>
  <si>
    <t xml:space="preserve">      5100-01 Social Sec-MRS</t>
  </si>
  <si>
    <t xml:space="preserve">      5100-02 Social Sec-BSBP</t>
  </si>
  <si>
    <t xml:space="preserve">      5100-99 Social Sec-Unallacated</t>
  </si>
  <si>
    <t xml:space="preserve">   Total 5100-00 Social Security Expense</t>
  </si>
  <si>
    <t xml:space="preserve">   5200-00 Medicare Expense</t>
  </si>
  <si>
    <t xml:space="preserve">      5200-01 Medicare-MRS</t>
  </si>
  <si>
    <t xml:space="preserve">      5200-02 Medicare-BSBP</t>
  </si>
  <si>
    <t xml:space="preserve">      5200-99 Medicare-Unallocated</t>
  </si>
  <si>
    <t xml:space="preserve">   Total 5200-00 Medicare Expense</t>
  </si>
  <si>
    <t xml:space="preserve">   5300-00 UIA Expense</t>
  </si>
  <si>
    <t xml:space="preserve">      5300-01 UIA-MRS</t>
  </si>
  <si>
    <t xml:space="preserve">      5300-02 UIA-BSBP</t>
  </si>
  <si>
    <t xml:space="preserve">      5300-99 UIA-Unallocated</t>
  </si>
  <si>
    <t xml:space="preserve">   Total 5300-00 UIA Expense</t>
  </si>
  <si>
    <t xml:space="preserve">   5400-00 Dental Insurance</t>
  </si>
  <si>
    <t xml:space="preserve">      5400-01 Dental-MRS</t>
  </si>
  <si>
    <t xml:space="preserve">      5400-02 Dental-BSBP</t>
  </si>
  <si>
    <t xml:space="preserve">      5400-99 Dental-Unallocated</t>
  </si>
  <si>
    <t xml:space="preserve">   Total 5400-00 Dental Insurance</t>
  </si>
  <si>
    <t xml:space="preserve">   5500-00 Health Insurance Expense</t>
  </si>
  <si>
    <t xml:space="preserve">      5500-01 Health-MRS</t>
  </si>
  <si>
    <t xml:space="preserve">      5500-02 Health-BSBP</t>
  </si>
  <si>
    <t xml:space="preserve">      5500-99 Health-Unallocated</t>
  </si>
  <si>
    <t xml:space="preserve">   Total 5500-00 Health Insurance Expense</t>
  </si>
  <si>
    <t xml:space="preserve">   5600-00 Disability/Life Expense</t>
  </si>
  <si>
    <t xml:space="preserve">      5600-01 Disability-MRS</t>
  </si>
  <si>
    <t xml:space="preserve">      5600-02 Disability-BSBP</t>
  </si>
  <si>
    <t xml:space="preserve">      5600-99 Disability-Unallocated</t>
  </si>
  <si>
    <t xml:space="preserve">   Total 5600-00 Disability/Life Expense</t>
  </si>
  <si>
    <t xml:space="preserve">   5700-00 Professional Fees</t>
  </si>
  <si>
    <t xml:space="preserve">      5700-01 Professional-MRS</t>
  </si>
  <si>
    <t xml:space="preserve">      5700-02 Professional-BSBP</t>
  </si>
  <si>
    <t xml:space="preserve">      5700-99 Professional-Unallocated</t>
  </si>
  <si>
    <t xml:space="preserve">   Total 5700-00 Professional Fees</t>
  </si>
  <si>
    <t xml:space="preserve">   5950-00 Retirement</t>
  </si>
  <si>
    <t xml:space="preserve">      5950-01 Retirement-MRS</t>
  </si>
  <si>
    <t xml:space="preserve">      5950-02 Retirement-BSBP</t>
  </si>
  <si>
    <t xml:space="preserve">      5950-99 Retirement-Unallocated</t>
  </si>
  <si>
    <t xml:space="preserve">   Total 5950-00 Retirement</t>
  </si>
  <si>
    <t xml:space="preserve">   6000-00 Rent Expense</t>
  </si>
  <si>
    <t xml:space="preserve">      6000-01 Rent-MRS</t>
  </si>
  <si>
    <t xml:space="preserve">      6000-02 Rent-BSBP</t>
  </si>
  <si>
    <t xml:space="preserve">      6000-99 Rent-Unallocated</t>
  </si>
  <si>
    <t xml:space="preserve">   Total 6000-00 Rent Expense</t>
  </si>
  <si>
    <t xml:space="preserve">   6100-00 Communications</t>
  </si>
  <si>
    <t xml:space="preserve">      6100-01 Communication-MRS</t>
  </si>
  <si>
    <t xml:space="preserve">      6100-02 Communication-BSBP</t>
  </si>
  <si>
    <t xml:space="preserve">      6100-99 Communication-Unallocated</t>
  </si>
  <si>
    <t xml:space="preserve">   Total 6100-00 Communications</t>
  </si>
  <si>
    <t xml:space="preserve">   6200-00 Audit</t>
  </si>
  <si>
    <t xml:space="preserve">      6200-01 Audit-MRS</t>
  </si>
  <si>
    <t xml:space="preserve">      6200-02 Audit-BSBP</t>
  </si>
  <si>
    <t xml:space="preserve">   Total 6200-00 Audit</t>
  </si>
  <si>
    <t xml:space="preserve">   6300-00 Insurance</t>
  </si>
  <si>
    <t xml:space="preserve">      6300-01 Insurance-MRS</t>
  </si>
  <si>
    <t xml:space="preserve">      6300-02 Insurance-BSBP</t>
  </si>
  <si>
    <t xml:space="preserve">      6300-99 Insurance-Unallocated</t>
  </si>
  <si>
    <t xml:space="preserve">   Total 6300-00 Insurance</t>
  </si>
  <si>
    <t xml:space="preserve">   6400-00 Postage</t>
  </si>
  <si>
    <t xml:space="preserve">      6400-01 Postage-MRS</t>
  </si>
  <si>
    <t xml:space="preserve">      6400-02 Postage-BSBP</t>
  </si>
  <si>
    <t xml:space="preserve">      6400-99 Postage-Unallocated</t>
  </si>
  <si>
    <t xml:space="preserve">   Total 6400-00 Postage</t>
  </si>
  <si>
    <t xml:space="preserve">   6600-00 Supplies</t>
  </si>
  <si>
    <t xml:space="preserve">      6600-01 Supplies-MRS</t>
  </si>
  <si>
    <t xml:space="preserve">      6600-02 Supplies-BSBP</t>
  </si>
  <si>
    <t xml:space="preserve">   Total 6600-00 Supplies</t>
  </si>
  <si>
    <t xml:space="preserve">   6700-00 Statewide Data System License</t>
  </si>
  <si>
    <t xml:space="preserve">      6700-01 Data System-MRS</t>
  </si>
  <si>
    <t xml:space="preserve">      6700-02 Data System-BSBP</t>
  </si>
  <si>
    <t xml:space="preserve">      6700-99 Data System-Unallocated</t>
  </si>
  <si>
    <t xml:space="preserve">   Total 6700-00 Statewide Data System License</t>
  </si>
  <si>
    <t xml:space="preserve">   6800-00 Accomodations</t>
  </si>
  <si>
    <t xml:space="preserve">      6800-01 Accomodations-MRS</t>
  </si>
  <si>
    <t xml:space="preserve">      6800-02 Accomodations-BSBP</t>
  </si>
  <si>
    <t xml:space="preserve">      6800-99 Accomodations-Unallocated</t>
  </si>
  <si>
    <t xml:space="preserve">   Total 6800-00 Accomodations</t>
  </si>
  <si>
    <t xml:space="preserve">   6900-00 Training</t>
  </si>
  <si>
    <t xml:space="preserve">      6900-01 Training-MRS</t>
  </si>
  <si>
    <t xml:space="preserve">      6900-02 Training-BSBP</t>
  </si>
  <si>
    <t xml:space="preserve">      6900-99 Training-Unallocated</t>
  </si>
  <si>
    <t xml:space="preserve">   Total 6900-00 Training</t>
  </si>
  <si>
    <t xml:space="preserve">   7000-00 Travel</t>
  </si>
  <si>
    <t xml:space="preserve">      7000-01 Travel-MRS</t>
  </si>
  <si>
    <t xml:space="preserve">      7000-02 Travel-BSBP</t>
  </si>
  <si>
    <t xml:space="preserve">      7000-99 Travel-Unallocated</t>
  </si>
  <si>
    <t xml:space="preserve">   Total 7000-00 Travel</t>
  </si>
  <si>
    <t xml:space="preserve">   7100-00 Council Meetings</t>
  </si>
  <si>
    <t xml:space="preserve">      7100-01 Council Meeting-MRS</t>
  </si>
  <si>
    <t xml:space="preserve">      7100-02 Council Meeting-BSBP</t>
  </si>
  <si>
    <t xml:space="preserve">   Total 7100-00 Council Meetings</t>
  </si>
  <si>
    <t xml:space="preserve">   7300-00 SPIL Support</t>
  </si>
  <si>
    <t xml:space="preserve">      7300-01 SPIL-MRS</t>
  </si>
  <si>
    <t xml:space="preserve">      7300-02 SPIL-BSBP</t>
  </si>
  <si>
    <t xml:space="preserve">      7300-99 SPIL-Unallocated</t>
  </si>
  <si>
    <t xml:space="preserve">   Total 7300-00 SPIL Support</t>
  </si>
  <si>
    <t xml:space="preserve">   7900-00 Miscellaneous</t>
  </si>
  <si>
    <t xml:space="preserve">      7900-01 Misc-MRS</t>
  </si>
  <si>
    <t xml:space="preserve">      7900-02 Misc-BSBP</t>
  </si>
  <si>
    <t xml:space="preserve">      7900-99 Misc-Unallocated</t>
  </si>
  <si>
    <t xml:space="preserve">   Total 7900-00 Miscellaneous</t>
  </si>
  <si>
    <t>Total Expenditures</t>
  </si>
  <si>
    <t>Net Operating Revenue</t>
  </si>
  <si>
    <t>Net Revenue</t>
  </si>
  <si>
    <t>Monday, Jan 04, 2021 12:25:20 PM GMT-8 - Accrual Basis</t>
  </si>
  <si>
    <t>Michigan Statewide Independent Living Corp</t>
  </si>
  <si>
    <t xml:space="preserve">Budget vs. Actuals: FY2020_2021 - FY21 P&amp;L </t>
  </si>
  <si>
    <t>October - December, 2020</t>
  </si>
  <si>
    <t>over/under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</si>
</sst>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0" fontId="2" fillId="0" borderId="3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7"/>
  <sheetViews>
    <sheetView tabSelected="1" workbookViewId="0">
      <selection activeCell="F18" sqref="F18"/>
    </sheetView>
  </sheetViews>
  <sheetFormatPr defaultRowHeight="15" x14ac:dyDescent="0.25"/>
  <cols>
    <col min="1" max="1" width="40.42578125" customWidth="1"/>
    <col min="2" max="3" width="9.42578125" customWidth="1"/>
    <col min="4" max="4" width="11.28515625" customWidth="1"/>
    <col min="5" max="5" width="7.7109375" customWidth="1"/>
    <col min="6" max="7" width="9.42578125" customWidth="1"/>
    <col min="8" max="8" width="11.28515625" customWidth="1"/>
    <col min="9" max="9" width="7.7109375" customWidth="1"/>
    <col min="10" max="11" width="9.42578125" customWidth="1"/>
    <col min="12" max="12" width="10.28515625" customWidth="1"/>
    <col min="13" max="13" width="7.7109375" customWidth="1"/>
    <col min="14" max="15" width="9.42578125" customWidth="1"/>
    <col min="16" max="16" width="11.28515625" customWidth="1"/>
    <col min="17" max="17" width="7.7109375" customWidth="1"/>
  </cols>
  <sheetData>
    <row r="1" spans="1:17" ht="18" x14ac:dyDescent="0.25">
      <c r="A1" s="15" t="s">
        <v>125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8" x14ac:dyDescent="0.25">
      <c r="A2" s="15" t="s">
        <v>126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5">
      <c r="A3" s="16" t="s">
        <v>127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5" spans="1:17" x14ac:dyDescent="0.25">
      <c r="A5" s="1"/>
      <c r="B5" s="11" t="s">
        <v>0</v>
      </c>
      <c r="C5" s="12"/>
      <c r="D5" s="12"/>
      <c r="E5" s="12"/>
      <c r="F5" s="11" t="s">
        <v>1</v>
      </c>
      <c r="G5" s="12"/>
      <c r="H5" s="12"/>
      <c r="I5" s="12"/>
      <c r="J5" s="11" t="s">
        <v>2</v>
      </c>
      <c r="K5" s="12"/>
      <c r="L5" s="12"/>
      <c r="M5" s="12"/>
      <c r="N5" s="11" t="s">
        <v>3</v>
      </c>
      <c r="O5" s="12"/>
      <c r="P5" s="12"/>
      <c r="Q5" s="12"/>
    </row>
    <row r="6" spans="1:17" ht="24.75" x14ac:dyDescent="0.25">
      <c r="A6" s="1"/>
      <c r="B6" s="2" t="s">
        <v>4</v>
      </c>
      <c r="C6" s="2" t="s">
        <v>5</v>
      </c>
      <c r="D6" s="2" t="s">
        <v>128</v>
      </c>
      <c r="E6" s="2" t="s">
        <v>6</v>
      </c>
      <c r="F6" s="2" t="s">
        <v>4</v>
      </c>
      <c r="G6" s="2" t="s">
        <v>5</v>
      </c>
      <c r="H6" s="2" t="s">
        <v>128</v>
      </c>
      <c r="I6" s="2" t="s">
        <v>6</v>
      </c>
      <c r="J6" s="2" t="s">
        <v>4</v>
      </c>
      <c r="K6" s="2" t="s">
        <v>5</v>
      </c>
      <c r="L6" s="2" t="s">
        <v>128</v>
      </c>
      <c r="M6" s="2" t="s">
        <v>6</v>
      </c>
      <c r="N6" s="2" t="s">
        <v>4</v>
      </c>
      <c r="O6" s="2" t="s">
        <v>5</v>
      </c>
      <c r="P6" s="2" t="s">
        <v>128</v>
      </c>
      <c r="Q6" s="2" t="s">
        <v>6</v>
      </c>
    </row>
    <row r="7" spans="1:17" x14ac:dyDescent="0.25">
      <c r="A7" s="3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3" t="s">
        <v>8</v>
      </c>
      <c r="B8" s="5">
        <f>9179.36</f>
        <v>9179.36</v>
      </c>
      <c r="C8" s="5">
        <f>18971.29</f>
        <v>18971.29</v>
      </c>
      <c r="D8" s="5">
        <f>(B8)-(C8)</f>
        <v>-9791.93</v>
      </c>
      <c r="E8" s="6">
        <f>IF(C8=0,"",(B8)/(C8))</f>
        <v>0.48385534141326186</v>
      </c>
      <c r="F8" s="5">
        <f>11923.79</f>
        <v>11923.79</v>
      </c>
      <c r="G8" s="5">
        <f>18971.29</f>
        <v>18971.29</v>
      </c>
      <c r="H8" s="5">
        <f>(F8)-(G8)</f>
        <v>-7047.5</v>
      </c>
      <c r="I8" s="6">
        <f>IF(G8=0,"",(F8)/(G8))</f>
        <v>0.62851761793742023</v>
      </c>
      <c r="J8" s="5">
        <f>16669.37</f>
        <v>16669.37</v>
      </c>
      <c r="K8" s="5">
        <f>18971.29</f>
        <v>18971.29</v>
      </c>
      <c r="L8" s="5">
        <f>(J8)-(K8)</f>
        <v>-2301.9200000000019</v>
      </c>
      <c r="M8" s="6">
        <f>IF(K8=0,"",(J8)/(K8))</f>
        <v>0.87866296914969921</v>
      </c>
      <c r="N8" s="5">
        <f t="shared" ref="N8:O12" si="0">((B8)+(F8))+(J8)</f>
        <v>37772.520000000004</v>
      </c>
      <c r="O8" s="5">
        <f t="shared" si="0"/>
        <v>56913.87</v>
      </c>
      <c r="P8" s="5">
        <f>(N8)-(O8)</f>
        <v>-19141.349999999999</v>
      </c>
      <c r="Q8" s="6">
        <f>IF(O8=0,"",(N8)/(O8))</f>
        <v>0.66367864283346045</v>
      </c>
    </row>
    <row r="9" spans="1:17" x14ac:dyDescent="0.25">
      <c r="A9" s="3" t="s">
        <v>9</v>
      </c>
      <c r="B9" s="5">
        <f>4942.72</f>
        <v>4942.72</v>
      </c>
      <c r="C9" s="5">
        <f>10215.31</f>
        <v>10215.31</v>
      </c>
      <c r="D9" s="5">
        <f>(B9)-(C9)</f>
        <v>-5272.5899999999992</v>
      </c>
      <c r="E9" s="6">
        <f>IF(C9=0,"",(B9)/(C9))</f>
        <v>0.48385413658518445</v>
      </c>
      <c r="F9" s="5">
        <f>6210.51</f>
        <v>6210.51</v>
      </c>
      <c r="G9" s="5">
        <f>10215.31</f>
        <v>10215.31</v>
      </c>
      <c r="H9" s="5">
        <f>(F9)-(G9)</f>
        <v>-4004.7999999999993</v>
      </c>
      <c r="I9" s="6">
        <f>IF(G9=0,"",(F9)/(G9))</f>
        <v>0.60796099188375097</v>
      </c>
      <c r="J9" s="5">
        <f>8975.8</f>
        <v>8975.7999999999993</v>
      </c>
      <c r="K9" s="5">
        <f>10215.31</f>
        <v>10215.31</v>
      </c>
      <c r="L9" s="5">
        <f>(J9)-(K9)</f>
        <v>-1239.5100000000002</v>
      </c>
      <c r="M9" s="6">
        <f>IF(K9=0,"",(J9)/(K9))</f>
        <v>0.87866153841635741</v>
      </c>
      <c r="N9" s="5">
        <f t="shared" si="0"/>
        <v>20129.03</v>
      </c>
      <c r="O9" s="5">
        <f t="shared" si="0"/>
        <v>30645.93</v>
      </c>
      <c r="P9" s="5">
        <f>(N9)-(O9)</f>
        <v>-10516.900000000001</v>
      </c>
      <c r="Q9" s="6">
        <f>IF(O9=0,"",(N9)/(O9))</f>
        <v>0.65682555562843092</v>
      </c>
    </row>
    <row r="10" spans="1:17" x14ac:dyDescent="0.25">
      <c r="A10" s="3" t="s">
        <v>10</v>
      </c>
      <c r="B10" s="5">
        <f>9.75</f>
        <v>9.75</v>
      </c>
      <c r="C10" s="4"/>
      <c r="D10" s="5">
        <f>(B10)-(C10)</f>
        <v>9.75</v>
      </c>
      <c r="E10" s="6" t="str">
        <f>IF(C10=0,"",(B10)/(C10))</f>
        <v/>
      </c>
      <c r="F10" s="5">
        <f>6.58</f>
        <v>6.58</v>
      </c>
      <c r="G10" s="4"/>
      <c r="H10" s="5">
        <f>(F10)-(G10)</f>
        <v>6.58</v>
      </c>
      <c r="I10" s="6" t="str">
        <f>IF(G10=0,"",(F10)/(G10))</f>
        <v/>
      </c>
      <c r="J10" s="5">
        <f>8.01</f>
        <v>8.01</v>
      </c>
      <c r="K10" s="4"/>
      <c r="L10" s="5">
        <f>(J10)-(K10)</f>
        <v>8.01</v>
      </c>
      <c r="M10" s="6" t="str">
        <f>IF(K10=0,"",(J10)/(K10))</f>
        <v/>
      </c>
      <c r="N10" s="5">
        <f t="shared" si="0"/>
        <v>24.339999999999996</v>
      </c>
      <c r="O10" s="5">
        <f t="shared" si="0"/>
        <v>0</v>
      </c>
      <c r="P10" s="5">
        <f>(N10)-(O10)</f>
        <v>24.339999999999996</v>
      </c>
      <c r="Q10" s="6" t="str">
        <f>IF(O10=0,"",(N10)/(O10))</f>
        <v/>
      </c>
    </row>
    <row r="11" spans="1:17" x14ac:dyDescent="0.25">
      <c r="A11" s="3" t="s">
        <v>11</v>
      </c>
      <c r="B11" s="7">
        <f>((B8)+(B9))+(B10)</f>
        <v>14131.830000000002</v>
      </c>
      <c r="C11" s="7">
        <f>((C8)+(C9))+(C10)</f>
        <v>29186.6</v>
      </c>
      <c r="D11" s="7">
        <f>(B11)-(C11)</f>
        <v>-15054.769999999997</v>
      </c>
      <c r="E11" s="8">
        <f>IF(C11=0,"",(B11)/(C11))</f>
        <v>0.48418897713334208</v>
      </c>
      <c r="F11" s="7">
        <f>((F8)+(F9))+(F10)</f>
        <v>18140.880000000005</v>
      </c>
      <c r="G11" s="7">
        <f>((G8)+(G9))+(G10)</f>
        <v>29186.6</v>
      </c>
      <c r="H11" s="7">
        <f>(F11)-(G11)</f>
        <v>-11045.719999999994</v>
      </c>
      <c r="I11" s="8">
        <f>IF(G11=0,"",(F11)/(G11))</f>
        <v>0.62154824474245052</v>
      </c>
      <c r="J11" s="7">
        <f>((J8)+(J9))+(J10)</f>
        <v>25653.179999999997</v>
      </c>
      <c r="K11" s="7">
        <f>((K8)+(K9))+(K10)</f>
        <v>29186.6</v>
      </c>
      <c r="L11" s="7">
        <f>(J11)-(K11)</f>
        <v>-3533.4200000000019</v>
      </c>
      <c r="M11" s="8">
        <f>IF(K11=0,"",(J11)/(K11))</f>
        <v>0.87893690940363034</v>
      </c>
      <c r="N11" s="7">
        <f t="shared" si="0"/>
        <v>57925.89</v>
      </c>
      <c r="O11" s="7">
        <f t="shared" si="0"/>
        <v>87559.799999999988</v>
      </c>
      <c r="P11" s="7">
        <f>(N11)-(O11)</f>
        <v>-29633.909999999989</v>
      </c>
      <c r="Q11" s="8">
        <f>IF(O11=0,"",(N11)/(O11))</f>
        <v>0.66155804375980765</v>
      </c>
    </row>
    <row r="12" spans="1:17" x14ac:dyDescent="0.25">
      <c r="A12" s="3" t="s">
        <v>12</v>
      </c>
      <c r="B12" s="7">
        <f>(B11)-(0)</f>
        <v>14131.830000000002</v>
      </c>
      <c r="C12" s="7">
        <f>(C11)-(0)</f>
        <v>29186.6</v>
      </c>
      <c r="D12" s="7">
        <f>(B12)-(C12)</f>
        <v>-15054.769999999997</v>
      </c>
      <c r="E12" s="8">
        <f>IF(C12=0,"",(B12)/(C12))</f>
        <v>0.48418897713334208</v>
      </c>
      <c r="F12" s="7">
        <f>(F11)-(0)</f>
        <v>18140.880000000005</v>
      </c>
      <c r="G12" s="7">
        <f>(G11)-(0)</f>
        <v>29186.6</v>
      </c>
      <c r="H12" s="7">
        <f>(F12)-(G12)</f>
        <v>-11045.719999999994</v>
      </c>
      <c r="I12" s="8">
        <f>IF(G12=0,"",(F12)/(G12))</f>
        <v>0.62154824474245052</v>
      </c>
      <c r="J12" s="7">
        <f>(J11)-(0)</f>
        <v>25653.179999999997</v>
      </c>
      <c r="K12" s="7">
        <f>(K11)-(0)</f>
        <v>29186.6</v>
      </c>
      <c r="L12" s="7">
        <f>(J12)-(K12)</f>
        <v>-3533.4200000000019</v>
      </c>
      <c r="M12" s="8">
        <f>IF(K12=0,"",(J12)/(K12))</f>
        <v>0.87893690940363034</v>
      </c>
      <c r="N12" s="7">
        <f t="shared" si="0"/>
        <v>57925.89</v>
      </c>
      <c r="O12" s="7">
        <f t="shared" si="0"/>
        <v>87559.799999999988</v>
      </c>
      <c r="P12" s="7">
        <f>(N12)-(O12)</f>
        <v>-29633.909999999989</v>
      </c>
      <c r="Q12" s="8">
        <f>IF(O12=0,"",(N12)/(O12))</f>
        <v>0.66155804375980765</v>
      </c>
    </row>
    <row r="13" spans="1:17" x14ac:dyDescent="0.25">
      <c r="A13" s="3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3" t="s">
        <v>14</v>
      </c>
      <c r="B14" s="4"/>
      <c r="C14" s="4"/>
      <c r="D14" s="5">
        <f t="shared" ref="D14:D45" si="1">(B14)-(C14)</f>
        <v>0</v>
      </c>
      <c r="E14" s="6" t="str">
        <f t="shared" ref="E14:E45" si="2">IF(C14=0,"",(B14)/(C14))</f>
        <v/>
      </c>
      <c r="F14" s="4"/>
      <c r="G14" s="4"/>
      <c r="H14" s="5">
        <f t="shared" ref="H14:H45" si="3">(F14)-(G14)</f>
        <v>0</v>
      </c>
      <c r="I14" s="6" t="str">
        <f t="shared" ref="I14:I45" si="4">IF(G14=0,"",(F14)/(G14))</f>
        <v/>
      </c>
      <c r="J14" s="4"/>
      <c r="K14" s="4"/>
      <c r="L14" s="5">
        <f t="shared" ref="L14:L45" si="5">(J14)-(K14)</f>
        <v>0</v>
      </c>
      <c r="M14" s="6" t="str">
        <f t="shared" ref="M14:M45" si="6">IF(K14=0,"",(J14)/(K14))</f>
        <v/>
      </c>
      <c r="N14" s="5">
        <f t="shared" ref="N14:N45" si="7">((B14)+(F14))+(J14)</f>
        <v>0</v>
      </c>
      <c r="O14" s="5">
        <f t="shared" ref="O14:O45" si="8">((C14)+(G14))+(K14)</f>
        <v>0</v>
      </c>
      <c r="P14" s="5">
        <f t="shared" ref="P14:P45" si="9">(N14)-(O14)</f>
        <v>0</v>
      </c>
      <c r="Q14" s="6" t="str">
        <f t="shared" ref="Q14:Q45" si="10">IF(O14=0,"",(N14)/(O14))</f>
        <v/>
      </c>
    </row>
    <row r="15" spans="1:17" x14ac:dyDescent="0.25">
      <c r="A15" s="3" t="s">
        <v>15</v>
      </c>
      <c r="B15" s="5">
        <f>4225.73</f>
        <v>4225.7299999999996</v>
      </c>
      <c r="C15" s="5">
        <f>7691.78</f>
        <v>7691.78</v>
      </c>
      <c r="D15" s="5">
        <f t="shared" si="1"/>
        <v>-3466.05</v>
      </c>
      <c r="E15" s="6">
        <f t="shared" si="2"/>
        <v>0.5493825876455124</v>
      </c>
      <c r="F15" s="5">
        <f>7042.88</f>
        <v>7042.88</v>
      </c>
      <c r="G15" s="5">
        <f>7691.78</f>
        <v>7691.78</v>
      </c>
      <c r="H15" s="5">
        <f t="shared" si="3"/>
        <v>-648.89999999999964</v>
      </c>
      <c r="I15" s="6">
        <f t="shared" si="4"/>
        <v>0.91563721271279219</v>
      </c>
      <c r="J15" s="5">
        <f>10564.32</f>
        <v>10564.32</v>
      </c>
      <c r="K15" s="5">
        <f>7691.78</f>
        <v>7691.78</v>
      </c>
      <c r="L15" s="5">
        <f t="shared" si="5"/>
        <v>2872.54</v>
      </c>
      <c r="M15" s="6">
        <f t="shared" si="6"/>
        <v>1.3734558190691881</v>
      </c>
      <c r="N15" s="5">
        <f t="shared" si="7"/>
        <v>21832.93</v>
      </c>
      <c r="O15" s="5">
        <f t="shared" si="8"/>
        <v>23075.34</v>
      </c>
      <c r="P15" s="5">
        <f t="shared" si="9"/>
        <v>-1242.4099999999999</v>
      </c>
      <c r="Q15" s="6">
        <f t="shared" si="10"/>
        <v>0.9461585398091642</v>
      </c>
    </row>
    <row r="16" spans="1:17" x14ac:dyDescent="0.25">
      <c r="A16" s="3" t="s">
        <v>16</v>
      </c>
      <c r="B16" s="5">
        <f>2275.39</f>
        <v>2275.39</v>
      </c>
      <c r="C16" s="5">
        <f>4141.73</f>
        <v>4141.7299999999996</v>
      </c>
      <c r="D16" s="5">
        <f t="shared" si="1"/>
        <v>-1866.3399999999997</v>
      </c>
      <c r="E16" s="6">
        <f t="shared" si="2"/>
        <v>0.54938153863240724</v>
      </c>
      <c r="F16" s="5">
        <f>3792.32</f>
        <v>3792.32</v>
      </c>
      <c r="G16" s="5">
        <f>4141.73</f>
        <v>4141.7299999999996</v>
      </c>
      <c r="H16" s="5">
        <f t="shared" si="3"/>
        <v>-349.4099999999994</v>
      </c>
      <c r="I16" s="6">
        <f t="shared" si="4"/>
        <v>0.91563670253734564</v>
      </c>
      <c r="J16" s="5">
        <f>5688.48</f>
        <v>5688.48</v>
      </c>
      <c r="K16" s="5">
        <f>4141.73</f>
        <v>4141.7299999999996</v>
      </c>
      <c r="L16" s="5">
        <f t="shared" si="5"/>
        <v>1546.75</v>
      </c>
      <c r="M16" s="6">
        <f t="shared" si="6"/>
        <v>1.3734550538060184</v>
      </c>
      <c r="N16" s="5">
        <f t="shared" si="7"/>
        <v>11756.189999999999</v>
      </c>
      <c r="O16" s="5">
        <f t="shared" si="8"/>
        <v>12425.189999999999</v>
      </c>
      <c r="P16" s="5">
        <f t="shared" si="9"/>
        <v>-669</v>
      </c>
      <c r="Q16" s="6">
        <f t="shared" si="10"/>
        <v>0.94615776499192361</v>
      </c>
    </row>
    <row r="17" spans="1:17" x14ac:dyDescent="0.25">
      <c r="A17" s="3" t="s">
        <v>17</v>
      </c>
      <c r="B17" s="5">
        <f>0</f>
        <v>0</v>
      </c>
      <c r="C17" s="4"/>
      <c r="D17" s="5">
        <f t="shared" si="1"/>
        <v>0</v>
      </c>
      <c r="E17" s="6" t="str">
        <f t="shared" si="2"/>
        <v/>
      </c>
      <c r="F17" s="5">
        <f>0</f>
        <v>0</v>
      </c>
      <c r="G17" s="4"/>
      <c r="H17" s="5">
        <f t="shared" si="3"/>
        <v>0</v>
      </c>
      <c r="I17" s="6" t="str">
        <f t="shared" si="4"/>
        <v/>
      </c>
      <c r="J17" s="5">
        <f>0</f>
        <v>0</v>
      </c>
      <c r="K17" s="4"/>
      <c r="L17" s="5">
        <f t="shared" si="5"/>
        <v>0</v>
      </c>
      <c r="M17" s="6" t="str">
        <f t="shared" si="6"/>
        <v/>
      </c>
      <c r="N17" s="5">
        <f t="shared" si="7"/>
        <v>0</v>
      </c>
      <c r="O17" s="5">
        <f t="shared" si="8"/>
        <v>0</v>
      </c>
      <c r="P17" s="5">
        <f t="shared" si="9"/>
        <v>0</v>
      </c>
      <c r="Q17" s="6" t="str">
        <f t="shared" si="10"/>
        <v/>
      </c>
    </row>
    <row r="18" spans="1:17" x14ac:dyDescent="0.25">
      <c r="A18" s="3" t="s">
        <v>18</v>
      </c>
      <c r="B18" s="7">
        <f>(((B14)+(B15))+(B16))+(B17)</f>
        <v>6501.119999999999</v>
      </c>
      <c r="C18" s="7">
        <f>(((C14)+(C15))+(C16))+(C17)</f>
        <v>11833.509999999998</v>
      </c>
      <c r="D18" s="7">
        <f t="shared" si="1"/>
        <v>-5332.3899999999994</v>
      </c>
      <c r="E18" s="8">
        <f t="shared" si="2"/>
        <v>0.54938222049079266</v>
      </c>
      <c r="F18" s="7">
        <f>(((F14)+(F15))+(F16))+(F17)</f>
        <v>10835.2</v>
      </c>
      <c r="G18" s="7">
        <f>(((G14)+(G15))+(G16))+(G17)</f>
        <v>11833.509999999998</v>
      </c>
      <c r="H18" s="7">
        <f t="shared" si="3"/>
        <v>-998.30999999999767</v>
      </c>
      <c r="I18" s="8">
        <f t="shared" si="4"/>
        <v>0.91563703415132136</v>
      </c>
      <c r="J18" s="7">
        <f>(((J14)+(J15))+(J16))+(J17)</f>
        <v>16252.8</v>
      </c>
      <c r="K18" s="7">
        <f>(((K14)+(K15))+(K16))+(K17)</f>
        <v>11833.509999999998</v>
      </c>
      <c r="L18" s="7">
        <f t="shared" si="5"/>
        <v>4419.2900000000009</v>
      </c>
      <c r="M18" s="8">
        <f t="shared" si="6"/>
        <v>1.3734555512269817</v>
      </c>
      <c r="N18" s="7">
        <f t="shared" si="7"/>
        <v>33589.119999999995</v>
      </c>
      <c r="O18" s="7">
        <f t="shared" si="8"/>
        <v>35500.53</v>
      </c>
      <c r="P18" s="7">
        <f t="shared" si="9"/>
        <v>-1911.4100000000035</v>
      </c>
      <c r="Q18" s="8">
        <f t="shared" si="10"/>
        <v>0.94615826862303176</v>
      </c>
    </row>
    <row r="19" spans="1:17" x14ac:dyDescent="0.25">
      <c r="A19" s="3" t="s">
        <v>19</v>
      </c>
      <c r="B19" s="4"/>
      <c r="C19" s="4"/>
      <c r="D19" s="5">
        <f t="shared" si="1"/>
        <v>0</v>
      </c>
      <c r="E19" s="6" t="str">
        <f t="shared" si="2"/>
        <v/>
      </c>
      <c r="F19" s="4"/>
      <c r="G19" s="4"/>
      <c r="H19" s="5">
        <f t="shared" si="3"/>
        <v>0</v>
      </c>
      <c r="I19" s="6" t="str">
        <f t="shared" si="4"/>
        <v/>
      </c>
      <c r="J19" s="4"/>
      <c r="K19" s="4"/>
      <c r="L19" s="5">
        <f t="shared" si="5"/>
        <v>0</v>
      </c>
      <c r="M19" s="6" t="str">
        <f t="shared" si="6"/>
        <v/>
      </c>
      <c r="N19" s="5">
        <f t="shared" si="7"/>
        <v>0</v>
      </c>
      <c r="O19" s="5">
        <f t="shared" si="8"/>
        <v>0</v>
      </c>
      <c r="P19" s="5">
        <f t="shared" si="9"/>
        <v>0</v>
      </c>
      <c r="Q19" s="6" t="str">
        <f t="shared" si="10"/>
        <v/>
      </c>
    </row>
    <row r="20" spans="1:17" x14ac:dyDescent="0.25">
      <c r="A20" s="3" t="s">
        <v>20</v>
      </c>
      <c r="B20" s="5">
        <f>413.5</f>
        <v>413.5</v>
      </c>
      <c r="C20" s="5">
        <f>476.89</f>
        <v>476.89</v>
      </c>
      <c r="D20" s="5">
        <f t="shared" si="1"/>
        <v>-63.389999999999986</v>
      </c>
      <c r="E20" s="6">
        <f t="shared" si="2"/>
        <v>0.86707626496676382</v>
      </c>
      <c r="F20" s="5">
        <f>413.5</f>
        <v>413.5</v>
      </c>
      <c r="G20" s="5">
        <f>476.89</f>
        <v>476.89</v>
      </c>
      <c r="H20" s="5">
        <f t="shared" si="3"/>
        <v>-63.389999999999986</v>
      </c>
      <c r="I20" s="6">
        <f t="shared" si="4"/>
        <v>0.86707626496676382</v>
      </c>
      <c r="J20" s="5">
        <f>620.26</f>
        <v>620.26</v>
      </c>
      <c r="K20" s="5">
        <f>476.89</f>
        <v>476.89</v>
      </c>
      <c r="L20" s="5">
        <f t="shared" si="5"/>
        <v>143.37</v>
      </c>
      <c r="M20" s="6">
        <f t="shared" si="6"/>
        <v>1.3006353666463966</v>
      </c>
      <c r="N20" s="5">
        <f t="shared" si="7"/>
        <v>1447.26</v>
      </c>
      <c r="O20" s="5">
        <f t="shared" si="8"/>
        <v>1430.67</v>
      </c>
      <c r="P20" s="5">
        <f t="shared" si="9"/>
        <v>16.589999999999918</v>
      </c>
      <c r="Q20" s="6">
        <f t="shared" si="10"/>
        <v>1.0115959655266413</v>
      </c>
    </row>
    <row r="21" spans="1:17" x14ac:dyDescent="0.25">
      <c r="A21" s="3" t="s">
        <v>21</v>
      </c>
      <c r="B21" s="5">
        <f>222.66</f>
        <v>222.66</v>
      </c>
      <c r="C21" s="5">
        <f>256.79</f>
        <v>256.79000000000002</v>
      </c>
      <c r="D21" s="5">
        <f t="shared" si="1"/>
        <v>-34.130000000000024</v>
      </c>
      <c r="E21" s="6">
        <f t="shared" si="2"/>
        <v>0.86708983994703837</v>
      </c>
      <c r="F21" s="5">
        <f>222.66</f>
        <v>222.66</v>
      </c>
      <c r="G21" s="5">
        <f>256.79</f>
        <v>256.79000000000002</v>
      </c>
      <c r="H21" s="5">
        <f t="shared" si="3"/>
        <v>-34.130000000000024</v>
      </c>
      <c r="I21" s="6">
        <f t="shared" si="4"/>
        <v>0.86708983994703837</v>
      </c>
      <c r="J21" s="5">
        <f>333.98</f>
        <v>333.98</v>
      </c>
      <c r="K21" s="5">
        <f>256.79</f>
        <v>256.79000000000002</v>
      </c>
      <c r="L21" s="5">
        <f t="shared" si="5"/>
        <v>77.19</v>
      </c>
      <c r="M21" s="6">
        <f t="shared" si="6"/>
        <v>1.300595817594143</v>
      </c>
      <c r="N21" s="5">
        <f t="shared" si="7"/>
        <v>779.3</v>
      </c>
      <c r="O21" s="5">
        <f t="shared" si="8"/>
        <v>770.37000000000012</v>
      </c>
      <c r="P21" s="5">
        <f t="shared" si="9"/>
        <v>8.9299999999998363</v>
      </c>
      <c r="Q21" s="6">
        <f t="shared" si="10"/>
        <v>1.0115918324960731</v>
      </c>
    </row>
    <row r="22" spans="1:17" x14ac:dyDescent="0.25">
      <c r="A22" s="3" t="s">
        <v>22</v>
      </c>
      <c r="B22" s="5">
        <f>0</f>
        <v>0</v>
      </c>
      <c r="C22" s="4"/>
      <c r="D22" s="5">
        <f t="shared" si="1"/>
        <v>0</v>
      </c>
      <c r="E22" s="6" t="str">
        <f t="shared" si="2"/>
        <v/>
      </c>
      <c r="F22" s="5">
        <f>0</f>
        <v>0</v>
      </c>
      <c r="G22" s="4"/>
      <c r="H22" s="5">
        <f t="shared" si="3"/>
        <v>0</v>
      </c>
      <c r="I22" s="6" t="str">
        <f t="shared" si="4"/>
        <v/>
      </c>
      <c r="J22" s="5">
        <f>0</f>
        <v>0</v>
      </c>
      <c r="K22" s="4"/>
      <c r="L22" s="5">
        <f t="shared" si="5"/>
        <v>0</v>
      </c>
      <c r="M22" s="6" t="str">
        <f t="shared" si="6"/>
        <v/>
      </c>
      <c r="N22" s="5">
        <f t="shared" si="7"/>
        <v>0</v>
      </c>
      <c r="O22" s="5">
        <f t="shared" si="8"/>
        <v>0</v>
      </c>
      <c r="P22" s="5">
        <f t="shared" si="9"/>
        <v>0</v>
      </c>
      <c r="Q22" s="6" t="str">
        <f t="shared" si="10"/>
        <v/>
      </c>
    </row>
    <row r="23" spans="1:17" x14ac:dyDescent="0.25">
      <c r="A23" s="3" t="s">
        <v>23</v>
      </c>
      <c r="B23" s="7">
        <f>(((B19)+(B20))+(B21))+(B22)</f>
        <v>636.16</v>
      </c>
      <c r="C23" s="7">
        <f>(((C19)+(C20))+(C21))+(C22)</f>
        <v>733.68000000000006</v>
      </c>
      <c r="D23" s="7">
        <f t="shared" si="1"/>
        <v>-97.520000000000095</v>
      </c>
      <c r="E23" s="8">
        <f t="shared" si="2"/>
        <v>0.86708101624686496</v>
      </c>
      <c r="F23" s="7">
        <f>(((F19)+(F20))+(F21))+(F22)</f>
        <v>636.16</v>
      </c>
      <c r="G23" s="7">
        <f>(((G19)+(G20))+(G21))+(G22)</f>
        <v>733.68000000000006</v>
      </c>
      <c r="H23" s="7">
        <f t="shared" si="3"/>
        <v>-97.520000000000095</v>
      </c>
      <c r="I23" s="8">
        <f t="shared" si="4"/>
        <v>0.86708101624686496</v>
      </c>
      <c r="J23" s="7">
        <f>(((J19)+(J20))+(J21))+(J22)</f>
        <v>954.24</v>
      </c>
      <c r="K23" s="7">
        <f>(((K19)+(K20))+(K21))+(K22)</f>
        <v>733.68000000000006</v>
      </c>
      <c r="L23" s="7">
        <f t="shared" si="5"/>
        <v>220.55999999999995</v>
      </c>
      <c r="M23" s="8">
        <f t="shared" si="6"/>
        <v>1.3006215243702977</v>
      </c>
      <c r="N23" s="7">
        <f t="shared" si="7"/>
        <v>2226.56</v>
      </c>
      <c r="O23" s="7">
        <f t="shared" si="8"/>
        <v>2201.04</v>
      </c>
      <c r="P23" s="7">
        <f t="shared" si="9"/>
        <v>25.519999999999982</v>
      </c>
      <c r="Q23" s="8">
        <f t="shared" si="10"/>
        <v>1.011594518954676</v>
      </c>
    </row>
    <row r="24" spans="1:17" x14ac:dyDescent="0.25">
      <c r="A24" s="3" t="s">
        <v>24</v>
      </c>
      <c r="B24" s="4"/>
      <c r="C24" s="4"/>
      <c r="D24" s="5">
        <f t="shared" si="1"/>
        <v>0</v>
      </c>
      <c r="E24" s="6" t="str">
        <f t="shared" si="2"/>
        <v/>
      </c>
      <c r="F24" s="4"/>
      <c r="G24" s="4"/>
      <c r="H24" s="5">
        <f t="shared" si="3"/>
        <v>0</v>
      </c>
      <c r="I24" s="6" t="str">
        <f t="shared" si="4"/>
        <v/>
      </c>
      <c r="J24" s="4"/>
      <c r="K24" s="4"/>
      <c r="L24" s="5">
        <f t="shared" si="5"/>
        <v>0</v>
      </c>
      <c r="M24" s="6" t="str">
        <f t="shared" si="6"/>
        <v/>
      </c>
      <c r="N24" s="5">
        <f t="shared" si="7"/>
        <v>0</v>
      </c>
      <c r="O24" s="5">
        <f t="shared" si="8"/>
        <v>0</v>
      </c>
      <c r="P24" s="5">
        <f t="shared" si="9"/>
        <v>0</v>
      </c>
      <c r="Q24" s="6" t="str">
        <f t="shared" si="10"/>
        <v/>
      </c>
    </row>
    <row r="25" spans="1:17" x14ac:dyDescent="0.25">
      <c r="A25" s="3" t="s">
        <v>25</v>
      </c>
      <c r="B25" s="5">
        <f>96.74</f>
        <v>96.74</v>
      </c>
      <c r="C25" s="5">
        <f>111.53</f>
        <v>111.53</v>
      </c>
      <c r="D25" s="5">
        <f t="shared" si="1"/>
        <v>-14.790000000000006</v>
      </c>
      <c r="E25" s="6">
        <f t="shared" si="2"/>
        <v>0.86738993992647717</v>
      </c>
      <c r="F25" s="5">
        <f>96.71</f>
        <v>96.71</v>
      </c>
      <c r="G25" s="5">
        <f>111.53</f>
        <v>111.53</v>
      </c>
      <c r="H25" s="5">
        <f t="shared" si="3"/>
        <v>-14.820000000000007</v>
      </c>
      <c r="I25" s="6">
        <f t="shared" si="4"/>
        <v>0.86712095400340705</v>
      </c>
      <c r="J25" s="5">
        <f>145.06</f>
        <v>145.06</v>
      </c>
      <c r="K25" s="5">
        <f>111.53</f>
        <v>111.53</v>
      </c>
      <c r="L25" s="5">
        <f t="shared" si="5"/>
        <v>33.53</v>
      </c>
      <c r="M25" s="6">
        <f t="shared" si="6"/>
        <v>1.3006366000179324</v>
      </c>
      <c r="N25" s="5">
        <f t="shared" si="7"/>
        <v>338.51</v>
      </c>
      <c r="O25" s="5">
        <f t="shared" si="8"/>
        <v>334.59000000000003</v>
      </c>
      <c r="P25" s="5">
        <f t="shared" si="9"/>
        <v>3.9199999999999591</v>
      </c>
      <c r="Q25" s="6">
        <f t="shared" si="10"/>
        <v>1.0117158313159389</v>
      </c>
    </row>
    <row r="26" spans="1:17" x14ac:dyDescent="0.25">
      <c r="A26" s="3" t="s">
        <v>26</v>
      </c>
      <c r="B26" s="5">
        <f>52.09</f>
        <v>52.09</v>
      </c>
      <c r="C26" s="5">
        <f>60.06</f>
        <v>60.06</v>
      </c>
      <c r="D26" s="5">
        <f t="shared" si="1"/>
        <v>-7.9699999999999989</v>
      </c>
      <c r="E26" s="6">
        <f t="shared" si="2"/>
        <v>0.8672993672993673</v>
      </c>
      <c r="F26" s="5">
        <f>52.07</f>
        <v>52.07</v>
      </c>
      <c r="G26" s="5">
        <f>60.06</f>
        <v>60.06</v>
      </c>
      <c r="H26" s="5">
        <f t="shared" si="3"/>
        <v>-7.990000000000002</v>
      </c>
      <c r="I26" s="6">
        <f t="shared" si="4"/>
        <v>0.86696636696636697</v>
      </c>
      <c r="J26" s="5">
        <f>78.11</f>
        <v>78.11</v>
      </c>
      <c r="K26" s="5">
        <f>60.06</f>
        <v>60.06</v>
      </c>
      <c r="L26" s="5">
        <f t="shared" si="5"/>
        <v>18.049999999999997</v>
      </c>
      <c r="M26" s="6">
        <f t="shared" si="6"/>
        <v>1.3005328005328005</v>
      </c>
      <c r="N26" s="5">
        <f t="shared" si="7"/>
        <v>182.26999999999998</v>
      </c>
      <c r="O26" s="5">
        <f t="shared" si="8"/>
        <v>180.18</v>
      </c>
      <c r="P26" s="5">
        <f t="shared" si="9"/>
        <v>2.089999999999975</v>
      </c>
      <c r="Q26" s="6">
        <f t="shared" si="10"/>
        <v>1.0115995115995116</v>
      </c>
    </row>
    <row r="27" spans="1:17" x14ac:dyDescent="0.25">
      <c r="A27" s="3" t="s">
        <v>27</v>
      </c>
      <c r="B27" s="5">
        <f>0</f>
        <v>0</v>
      </c>
      <c r="C27" s="4"/>
      <c r="D27" s="5">
        <f t="shared" si="1"/>
        <v>0</v>
      </c>
      <c r="E27" s="6" t="str">
        <f t="shared" si="2"/>
        <v/>
      </c>
      <c r="F27" s="5">
        <f>0</f>
        <v>0</v>
      </c>
      <c r="G27" s="4"/>
      <c r="H27" s="5">
        <f t="shared" si="3"/>
        <v>0</v>
      </c>
      <c r="I27" s="6" t="str">
        <f t="shared" si="4"/>
        <v/>
      </c>
      <c r="J27" s="5">
        <f>0</f>
        <v>0</v>
      </c>
      <c r="K27" s="4"/>
      <c r="L27" s="5">
        <f t="shared" si="5"/>
        <v>0</v>
      </c>
      <c r="M27" s="6" t="str">
        <f t="shared" si="6"/>
        <v/>
      </c>
      <c r="N27" s="5">
        <f t="shared" si="7"/>
        <v>0</v>
      </c>
      <c r="O27" s="5">
        <f t="shared" si="8"/>
        <v>0</v>
      </c>
      <c r="P27" s="5">
        <f t="shared" si="9"/>
        <v>0</v>
      </c>
      <c r="Q27" s="6" t="str">
        <f t="shared" si="10"/>
        <v/>
      </c>
    </row>
    <row r="28" spans="1:17" x14ac:dyDescent="0.25">
      <c r="A28" s="3" t="s">
        <v>28</v>
      </c>
      <c r="B28" s="7">
        <f>(((B24)+(B25))+(B26))+(B27)</f>
        <v>148.82999999999998</v>
      </c>
      <c r="C28" s="7">
        <f>(((C24)+(C25))+(C26))+(C27)</f>
        <v>171.59</v>
      </c>
      <c r="D28" s="7">
        <f t="shared" si="1"/>
        <v>-22.760000000000019</v>
      </c>
      <c r="E28" s="8">
        <f t="shared" si="2"/>
        <v>0.86735823765953712</v>
      </c>
      <c r="F28" s="7">
        <f>(((F24)+(F25))+(F26))+(F27)</f>
        <v>148.78</v>
      </c>
      <c r="G28" s="7">
        <f>(((G24)+(G25))+(G26))+(G27)</f>
        <v>171.59</v>
      </c>
      <c r="H28" s="7">
        <f t="shared" si="3"/>
        <v>-22.810000000000002</v>
      </c>
      <c r="I28" s="8">
        <f t="shared" si="4"/>
        <v>0.86706684538726031</v>
      </c>
      <c r="J28" s="7">
        <f>(((J24)+(J25))+(J26))+(J27)</f>
        <v>223.17000000000002</v>
      </c>
      <c r="K28" s="7">
        <f>(((K24)+(K25))+(K26))+(K27)</f>
        <v>171.59</v>
      </c>
      <c r="L28" s="7">
        <f t="shared" si="5"/>
        <v>51.580000000000013</v>
      </c>
      <c r="M28" s="8">
        <f t="shared" si="6"/>
        <v>1.3006002680808906</v>
      </c>
      <c r="N28" s="7">
        <f t="shared" si="7"/>
        <v>520.78</v>
      </c>
      <c r="O28" s="7">
        <f t="shared" si="8"/>
        <v>514.77</v>
      </c>
      <c r="P28" s="7">
        <f t="shared" si="9"/>
        <v>6.0099999999999909</v>
      </c>
      <c r="Q28" s="8">
        <f t="shared" si="10"/>
        <v>1.0116751170425626</v>
      </c>
    </row>
    <row r="29" spans="1:17" x14ac:dyDescent="0.25">
      <c r="A29" s="3" t="s">
        <v>29</v>
      </c>
      <c r="B29" s="4"/>
      <c r="C29" s="4"/>
      <c r="D29" s="5">
        <f t="shared" si="1"/>
        <v>0</v>
      </c>
      <c r="E29" s="6" t="str">
        <f t="shared" si="2"/>
        <v/>
      </c>
      <c r="F29" s="4"/>
      <c r="G29" s="4"/>
      <c r="H29" s="5">
        <f t="shared" si="3"/>
        <v>0</v>
      </c>
      <c r="I29" s="6" t="str">
        <f t="shared" si="4"/>
        <v/>
      </c>
      <c r="J29" s="4"/>
      <c r="K29" s="4"/>
      <c r="L29" s="5">
        <f t="shared" si="5"/>
        <v>0</v>
      </c>
      <c r="M29" s="6" t="str">
        <f t="shared" si="6"/>
        <v/>
      </c>
      <c r="N29" s="5">
        <f t="shared" si="7"/>
        <v>0</v>
      </c>
      <c r="O29" s="5">
        <f t="shared" si="8"/>
        <v>0</v>
      </c>
      <c r="P29" s="5">
        <f t="shared" si="9"/>
        <v>0</v>
      </c>
      <c r="Q29" s="6" t="str">
        <f t="shared" si="10"/>
        <v/>
      </c>
    </row>
    <row r="30" spans="1:17" x14ac:dyDescent="0.25">
      <c r="A30" s="3" t="s">
        <v>30</v>
      </c>
      <c r="B30" s="4"/>
      <c r="C30" s="5">
        <f>64.46</f>
        <v>64.459999999999994</v>
      </c>
      <c r="D30" s="5">
        <f t="shared" si="1"/>
        <v>-64.459999999999994</v>
      </c>
      <c r="E30" s="6">
        <f t="shared" si="2"/>
        <v>0</v>
      </c>
      <c r="F30" s="4"/>
      <c r="G30" s="5">
        <f>64.46</f>
        <v>64.459999999999994</v>
      </c>
      <c r="H30" s="5">
        <f t="shared" si="3"/>
        <v>-64.459999999999994</v>
      </c>
      <c r="I30" s="6">
        <f t="shared" si="4"/>
        <v>0</v>
      </c>
      <c r="J30" s="4"/>
      <c r="K30" s="5">
        <f>64.46</f>
        <v>64.459999999999994</v>
      </c>
      <c r="L30" s="5">
        <f t="shared" si="5"/>
        <v>-64.459999999999994</v>
      </c>
      <c r="M30" s="6">
        <f t="shared" si="6"/>
        <v>0</v>
      </c>
      <c r="N30" s="5">
        <f t="shared" si="7"/>
        <v>0</v>
      </c>
      <c r="O30" s="5">
        <f t="shared" si="8"/>
        <v>193.38</v>
      </c>
      <c r="P30" s="5">
        <f t="shared" si="9"/>
        <v>-193.38</v>
      </c>
      <c r="Q30" s="6">
        <f t="shared" si="10"/>
        <v>0</v>
      </c>
    </row>
    <row r="31" spans="1:17" x14ac:dyDescent="0.25">
      <c r="A31" s="3" t="s">
        <v>31</v>
      </c>
      <c r="B31" s="4"/>
      <c r="C31" s="5">
        <f>34.71</f>
        <v>34.71</v>
      </c>
      <c r="D31" s="5">
        <f t="shared" si="1"/>
        <v>-34.71</v>
      </c>
      <c r="E31" s="6">
        <f t="shared" si="2"/>
        <v>0</v>
      </c>
      <c r="F31" s="4"/>
      <c r="G31" s="5">
        <f>34.71</f>
        <v>34.71</v>
      </c>
      <c r="H31" s="5">
        <f t="shared" si="3"/>
        <v>-34.71</v>
      </c>
      <c r="I31" s="6">
        <f t="shared" si="4"/>
        <v>0</v>
      </c>
      <c r="J31" s="4"/>
      <c r="K31" s="5">
        <f>34.71</f>
        <v>34.71</v>
      </c>
      <c r="L31" s="5">
        <f t="shared" si="5"/>
        <v>-34.71</v>
      </c>
      <c r="M31" s="6">
        <f t="shared" si="6"/>
        <v>0</v>
      </c>
      <c r="N31" s="5">
        <f t="shared" si="7"/>
        <v>0</v>
      </c>
      <c r="O31" s="5">
        <f t="shared" si="8"/>
        <v>104.13</v>
      </c>
      <c r="P31" s="5">
        <f t="shared" si="9"/>
        <v>-104.13</v>
      </c>
      <c r="Q31" s="6">
        <f t="shared" si="10"/>
        <v>0</v>
      </c>
    </row>
    <row r="32" spans="1:17" x14ac:dyDescent="0.25">
      <c r="A32" s="3" t="s">
        <v>32</v>
      </c>
      <c r="B32" s="5">
        <f>0</f>
        <v>0</v>
      </c>
      <c r="C32" s="4"/>
      <c r="D32" s="5">
        <f t="shared" si="1"/>
        <v>0</v>
      </c>
      <c r="E32" s="6" t="str">
        <f t="shared" si="2"/>
        <v/>
      </c>
      <c r="F32" s="5">
        <f>0</f>
        <v>0</v>
      </c>
      <c r="G32" s="4"/>
      <c r="H32" s="5">
        <f t="shared" si="3"/>
        <v>0</v>
      </c>
      <c r="I32" s="6" t="str">
        <f t="shared" si="4"/>
        <v/>
      </c>
      <c r="J32" s="5">
        <f>0</f>
        <v>0</v>
      </c>
      <c r="K32" s="4"/>
      <c r="L32" s="5">
        <f t="shared" si="5"/>
        <v>0</v>
      </c>
      <c r="M32" s="6" t="str">
        <f t="shared" si="6"/>
        <v/>
      </c>
      <c r="N32" s="5">
        <f t="shared" si="7"/>
        <v>0</v>
      </c>
      <c r="O32" s="5">
        <f t="shared" si="8"/>
        <v>0</v>
      </c>
      <c r="P32" s="5">
        <f t="shared" si="9"/>
        <v>0</v>
      </c>
      <c r="Q32" s="6" t="str">
        <f t="shared" si="10"/>
        <v/>
      </c>
    </row>
    <row r="33" spans="1:17" x14ac:dyDescent="0.25">
      <c r="A33" s="3" t="s">
        <v>33</v>
      </c>
      <c r="B33" s="7">
        <f>(((B29)+(B30))+(B31))+(B32)</f>
        <v>0</v>
      </c>
      <c r="C33" s="7">
        <f>(((C29)+(C30))+(C31))+(C32)</f>
        <v>99.169999999999987</v>
      </c>
      <c r="D33" s="7">
        <f t="shared" si="1"/>
        <v>-99.169999999999987</v>
      </c>
      <c r="E33" s="8">
        <f t="shared" si="2"/>
        <v>0</v>
      </c>
      <c r="F33" s="7">
        <f>(((F29)+(F30))+(F31))+(F32)</f>
        <v>0</v>
      </c>
      <c r="G33" s="7">
        <f>(((G29)+(G30))+(G31))+(G32)</f>
        <v>99.169999999999987</v>
      </c>
      <c r="H33" s="7">
        <f t="shared" si="3"/>
        <v>-99.169999999999987</v>
      </c>
      <c r="I33" s="8">
        <f t="shared" si="4"/>
        <v>0</v>
      </c>
      <c r="J33" s="7">
        <f>(((J29)+(J30))+(J31))+(J32)</f>
        <v>0</v>
      </c>
      <c r="K33" s="7">
        <f>(((K29)+(K30))+(K31))+(K32)</f>
        <v>99.169999999999987</v>
      </c>
      <c r="L33" s="7">
        <f t="shared" si="5"/>
        <v>-99.169999999999987</v>
      </c>
      <c r="M33" s="8">
        <f t="shared" si="6"/>
        <v>0</v>
      </c>
      <c r="N33" s="7">
        <f t="shared" si="7"/>
        <v>0</v>
      </c>
      <c r="O33" s="7">
        <f t="shared" si="8"/>
        <v>297.51</v>
      </c>
      <c r="P33" s="7">
        <f t="shared" si="9"/>
        <v>-297.51</v>
      </c>
      <c r="Q33" s="8">
        <f t="shared" si="10"/>
        <v>0</v>
      </c>
    </row>
    <row r="34" spans="1:17" x14ac:dyDescent="0.25">
      <c r="A34" s="3" t="s">
        <v>34</v>
      </c>
      <c r="B34" s="4"/>
      <c r="C34" s="4"/>
      <c r="D34" s="5">
        <f t="shared" si="1"/>
        <v>0</v>
      </c>
      <c r="E34" s="6" t="str">
        <f t="shared" si="2"/>
        <v/>
      </c>
      <c r="F34" s="4"/>
      <c r="G34" s="4"/>
      <c r="H34" s="5">
        <f t="shared" si="3"/>
        <v>0</v>
      </c>
      <c r="I34" s="6" t="str">
        <f t="shared" si="4"/>
        <v/>
      </c>
      <c r="J34" s="4"/>
      <c r="K34" s="4"/>
      <c r="L34" s="5">
        <f t="shared" si="5"/>
        <v>0</v>
      </c>
      <c r="M34" s="6" t="str">
        <f t="shared" si="6"/>
        <v/>
      </c>
      <c r="N34" s="5">
        <f t="shared" si="7"/>
        <v>0</v>
      </c>
      <c r="O34" s="5">
        <f t="shared" si="8"/>
        <v>0</v>
      </c>
      <c r="P34" s="5">
        <f t="shared" si="9"/>
        <v>0</v>
      </c>
      <c r="Q34" s="6" t="str">
        <f t="shared" si="10"/>
        <v/>
      </c>
    </row>
    <row r="35" spans="1:17" x14ac:dyDescent="0.25">
      <c r="A35" s="3" t="s">
        <v>35</v>
      </c>
      <c r="B35" s="5">
        <f>43.48</f>
        <v>43.48</v>
      </c>
      <c r="C35" s="5">
        <f>124.91</f>
        <v>124.91</v>
      </c>
      <c r="D35" s="5">
        <f t="shared" si="1"/>
        <v>-81.430000000000007</v>
      </c>
      <c r="E35" s="6">
        <f t="shared" si="2"/>
        <v>0.34809062525018014</v>
      </c>
      <c r="F35" s="5">
        <f>43.48</f>
        <v>43.48</v>
      </c>
      <c r="G35" s="5">
        <f>124.91</f>
        <v>124.91</v>
      </c>
      <c r="H35" s="5">
        <f t="shared" si="3"/>
        <v>-81.430000000000007</v>
      </c>
      <c r="I35" s="6">
        <f t="shared" si="4"/>
        <v>0.34809062525018014</v>
      </c>
      <c r="J35" s="5">
        <f>30.01</f>
        <v>30.01</v>
      </c>
      <c r="K35" s="5">
        <f>124.91</f>
        <v>124.91</v>
      </c>
      <c r="L35" s="5">
        <f t="shared" si="5"/>
        <v>-94.899999999999991</v>
      </c>
      <c r="M35" s="6">
        <f t="shared" si="6"/>
        <v>0.24025298214714597</v>
      </c>
      <c r="N35" s="5">
        <f t="shared" si="7"/>
        <v>116.97</v>
      </c>
      <c r="O35" s="5">
        <f t="shared" si="8"/>
        <v>374.73</v>
      </c>
      <c r="P35" s="5">
        <f t="shared" si="9"/>
        <v>-257.76</v>
      </c>
      <c r="Q35" s="6">
        <f t="shared" si="10"/>
        <v>0.31214474421583538</v>
      </c>
    </row>
    <row r="36" spans="1:17" x14ac:dyDescent="0.25">
      <c r="A36" s="3" t="s">
        <v>36</v>
      </c>
      <c r="B36" s="5">
        <f>23.41</f>
        <v>23.41</v>
      </c>
      <c r="C36" s="5">
        <f>67.26</f>
        <v>67.260000000000005</v>
      </c>
      <c r="D36" s="5">
        <f t="shared" si="1"/>
        <v>-43.850000000000009</v>
      </c>
      <c r="E36" s="6">
        <f t="shared" si="2"/>
        <v>0.34805233422539394</v>
      </c>
      <c r="F36" s="5">
        <f>23.41</f>
        <v>23.41</v>
      </c>
      <c r="G36" s="5">
        <f>67.26</f>
        <v>67.260000000000005</v>
      </c>
      <c r="H36" s="5">
        <f t="shared" si="3"/>
        <v>-43.850000000000009</v>
      </c>
      <c r="I36" s="6">
        <f t="shared" si="4"/>
        <v>0.34805233422539394</v>
      </c>
      <c r="J36" s="5">
        <f>16.16</f>
        <v>16.16</v>
      </c>
      <c r="K36" s="5">
        <f>67.26</f>
        <v>67.260000000000005</v>
      </c>
      <c r="L36" s="5">
        <f t="shared" si="5"/>
        <v>-51.100000000000009</v>
      </c>
      <c r="M36" s="6">
        <f t="shared" si="6"/>
        <v>0.24026167112696994</v>
      </c>
      <c r="N36" s="5">
        <f t="shared" si="7"/>
        <v>62.980000000000004</v>
      </c>
      <c r="O36" s="5">
        <f t="shared" si="8"/>
        <v>201.78000000000003</v>
      </c>
      <c r="P36" s="5">
        <f t="shared" si="9"/>
        <v>-138.80000000000001</v>
      </c>
      <c r="Q36" s="6">
        <f t="shared" si="10"/>
        <v>0.31212211319258598</v>
      </c>
    </row>
    <row r="37" spans="1:17" x14ac:dyDescent="0.25">
      <c r="A37" s="3" t="s">
        <v>37</v>
      </c>
      <c r="B37" s="5">
        <f>0</f>
        <v>0</v>
      </c>
      <c r="C37" s="4"/>
      <c r="D37" s="5">
        <f t="shared" si="1"/>
        <v>0</v>
      </c>
      <c r="E37" s="6" t="str">
        <f t="shared" si="2"/>
        <v/>
      </c>
      <c r="F37" s="5">
        <f>0</f>
        <v>0</v>
      </c>
      <c r="G37" s="4"/>
      <c r="H37" s="5">
        <f t="shared" si="3"/>
        <v>0</v>
      </c>
      <c r="I37" s="6" t="str">
        <f t="shared" si="4"/>
        <v/>
      </c>
      <c r="J37" s="5">
        <f>0</f>
        <v>0</v>
      </c>
      <c r="K37" s="4"/>
      <c r="L37" s="5">
        <f t="shared" si="5"/>
        <v>0</v>
      </c>
      <c r="M37" s="6" t="str">
        <f t="shared" si="6"/>
        <v/>
      </c>
      <c r="N37" s="5">
        <f t="shared" si="7"/>
        <v>0</v>
      </c>
      <c r="O37" s="5">
        <f t="shared" si="8"/>
        <v>0</v>
      </c>
      <c r="P37" s="5">
        <f t="shared" si="9"/>
        <v>0</v>
      </c>
      <c r="Q37" s="6" t="str">
        <f t="shared" si="10"/>
        <v/>
      </c>
    </row>
    <row r="38" spans="1:17" x14ac:dyDescent="0.25">
      <c r="A38" s="3" t="s">
        <v>38</v>
      </c>
      <c r="B38" s="7">
        <f>(((B34)+(B35))+(B36))+(B37)</f>
        <v>66.89</v>
      </c>
      <c r="C38" s="7">
        <f>(((C34)+(C35))+(C36))+(C37)</f>
        <v>192.17000000000002</v>
      </c>
      <c r="D38" s="7">
        <f t="shared" si="1"/>
        <v>-125.28000000000002</v>
      </c>
      <c r="E38" s="8">
        <f t="shared" si="2"/>
        <v>0.34807722329187696</v>
      </c>
      <c r="F38" s="7">
        <f>(((F34)+(F35))+(F36))+(F37)</f>
        <v>66.89</v>
      </c>
      <c r="G38" s="7">
        <f>(((G34)+(G35))+(G36))+(G37)</f>
        <v>192.17000000000002</v>
      </c>
      <c r="H38" s="7">
        <f t="shared" si="3"/>
        <v>-125.28000000000002</v>
      </c>
      <c r="I38" s="8">
        <f t="shared" si="4"/>
        <v>0.34807722329187696</v>
      </c>
      <c r="J38" s="7">
        <f>(((J34)+(J35))+(J36))+(J37)</f>
        <v>46.17</v>
      </c>
      <c r="K38" s="7">
        <f>(((K34)+(K35))+(K36))+(K37)</f>
        <v>192.17000000000002</v>
      </c>
      <c r="L38" s="7">
        <f t="shared" si="5"/>
        <v>-146</v>
      </c>
      <c r="M38" s="8">
        <f t="shared" si="6"/>
        <v>0.24025602331269189</v>
      </c>
      <c r="N38" s="7">
        <f t="shared" si="7"/>
        <v>179.95</v>
      </c>
      <c r="O38" s="7">
        <f t="shared" si="8"/>
        <v>576.51</v>
      </c>
      <c r="P38" s="7">
        <f t="shared" si="9"/>
        <v>-396.56</v>
      </c>
      <c r="Q38" s="8">
        <f t="shared" si="10"/>
        <v>0.31213682329881526</v>
      </c>
    </row>
    <row r="39" spans="1:17" x14ac:dyDescent="0.25">
      <c r="A39" s="3" t="s">
        <v>39</v>
      </c>
      <c r="B39" s="4"/>
      <c r="C39" s="4"/>
      <c r="D39" s="5">
        <f t="shared" si="1"/>
        <v>0</v>
      </c>
      <c r="E39" s="6" t="str">
        <f t="shared" si="2"/>
        <v/>
      </c>
      <c r="F39" s="4"/>
      <c r="G39" s="4"/>
      <c r="H39" s="5">
        <f t="shared" si="3"/>
        <v>0</v>
      </c>
      <c r="I39" s="6" t="str">
        <f t="shared" si="4"/>
        <v/>
      </c>
      <c r="J39" s="4"/>
      <c r="K39" s="4"/>
      <c r="L39" s="5">
        <f t="shared" si="5"/>
        <v>0</v>
      </c>
      <c r="M39" s="6" t="str">
        <f t="shared" si="6"/>
        <v/>
      </c>
      <c r="N39" s="5">
        <f t="shared" si="7"/>
        <v>0</v>
      </c>
      <c r="O39" s="5">
        <f t="shared" si="8"/>
        <v>0</v>
      </c>
      <c r="P39" s="5">
        <f t="shared" si="9"/>
        <v>0</v>
      </c>
      <c r="Q39" s="6" t="str">
        <f t="shared" si="10"/>
        <v/>
      </c>
    </row>
    <row r="40" spans="1:17" x14ac:dyDescent="0.25">
      <c r="A40" s="3" t="s">
        <v>40</v>
      </c>
      <c r="B40" s="5">
        <f>-346.4</f>
        <v>-346.4</v>
      </c>
      <c r="C40" s="5">
        <f>1163.01</f>
        <v>1163.01</v>
      </c>
      <c r="D40" s="5">
        <f t="shared" si="1"/>
        <v>-1509.4099999999999</v>
      </c>
      <c r="E40" s="6">
        <f t="shared" si="2"/>
        <v>-0.29784782590003522</v>
      </c>
      <c r="F40" s="5">
        <f>902.99</f>
        <v>902.99</v>
      </c>
      <c r="G40" s="5">
        <f>1163.01</f>
        <v>1163.01</v>
      </c>
      <c r="H40" s="5">
        <f t="shared" si="3"/>
        <v>-260.02</v>
      </c>
      <c r="I40" s="6">
        <f t="shared" si="4"/>
        <v>0.77642496625136503</v>
      </c>
      <c r="J40" s="5">
        <f>652.09</f>
        <v>652.09</v>
      </c>
      <c r="K40" s="5">
        <f>1163.01</f>
        <v>1163.01</v>
      </c>
      <c r="L40" s="5">
        <f t="shared" si="5"/>
        <v>-510.91999999999996</v>
      </c>
      <c r="M40" s="6">
        <f t="shared" si="6"/>
        <v>0.56069165355413975</v>
      </c>
      <c r="N40" s="5">
        <f t="shared" si="7"/>
        <v>1208.68</v>
      </c>
      <c r="O40" s="5">
        <f t="shared" si="8"/>
        <v>3489.0299999999997</v>
      </c>
      <c r="P40" s="5">
        <f t="shared" si="9"/>
        <v>-2280.3499999999995</v>
      </c>
      <c r="Q40" s="6">
        <f t="shared" si="10"/>
        <v>0.34642293130182317</v>
      </c>
    </row>
    <row r="41" spans="1:17" x14ac:dyDescent="0.25">
      <c r="A41" s="3" t="s">
        <v>41</v>
      </c>
      <c r="B41" s="5">
        <f>-186.52</f>
        <v>-186.52</v>
      </c>
      <c r="C41" s="5">
        <f>626.24</f>
        <v>626.24</v>
      </c>
      <c r="D41" s="5">
        <f t="shared" si="1"/>
        <v>-812.76</v>
      </c>
      <c r="E41" s="6">
        <f t="shared" si="2"/>
        <v>-0.29784108329075115</v>
      </c>
      <c r="F41" s="5">
        <f>486.23</f>
        <v>486.23</v>
      </c>
      <c r="G41" s="5">
        <f>626.24</f>
        <v>626.24</v>
      </c>
      <c r="H41" s="5">
        <f t="shared" si="3"/>
        <v>-140.01</v>
      </c>
      <c r="I41" s="6">
        <f t="shared" si="4"/>
        <v>0.77642756770567201</v>
      </c>
      <c r="J41" s="5">
        <f>351.13</f>
        <v>351.13</v>
      </c>
      <c r="K41" s="5">
        <f>626.24</f>
        <v>626.24</v>
      </c>
      <c r="L41" s="5">
        <f t="shared" si="5"/>
        <v>-275.11</v>
      </c>
      <c r="M41" s="6">
        <f t="shared" si="6"/>
        <v>0.56069557996934083</v>
      </c>
      <c r="N41" s="5">
        <f t="shared" si="7"/>
        <v>650.84</v>
      </c>
      <c r="O41" s="5">
        <f t="shared" si="8"/>
        <v>1878.72</v>
      </c>
      <c r="P41" s="5">
        <f t="shared" si="9"/>
        <v>-1227.8800000000001</v>
      </c>
      <c r="Q41" s="6">
        <f t="shared" si="10"/>
        <v>0.34642735479475389</v>
      </c>
    </row>
    <row r="42" spans="1:17" x14ac:dyDescent="0.25">
      <c r="A42" s="3" t="s">
        <v>42</v>
      </c>
      <c r="B42" s="5">
        <f>0</f>
        <v>0</v>
      </c>
      <c r="C42" s="4"/>
      <c r="D42" s="5">
        <f t="shared" si="1"/>
        <v>0</v>
      </c>
      <c r="E42" s="6" t="str">
        <f t="shared" si="2"/>
        <v/>
      </c>
      <c r="F42" s="5">
        <f>0</f>
        <v>0</v>
      </c>
      <c r="G42" s="4"/>
      <c r="H42" s="5">
        <f t="shared" si="3"/>
        <v>0</v>
      </c>
      <c r="I42" s="6" t="str">
        <f t="shared" si="4"/>
        <v/>
      </c>
      <c r="J42" s="5">
        <f>0</f>
        <v>0</v>
      </c>
      <c r="K42" s="4"/>
      <c r="L42" s="5">
        <f t="shared" si="5"/>
        <v>0</v>
      </c>
      <c r="M42" s="6" t="str">
        <f t="shared" si="6"/>
        <v/>
      </c>
      <c r="N42" s="5">
        <f t="shared" si="7"/>
        <v>0</v>
      </c>
      <c r="O42" s="5">
        <f t="shared" si="8"/>
        <v>0</v>
      </c>
      <c r="P42" s="5">
        <f t="shared" si="9"/>
        <v>0</v>
      </c>
      <c r="Q42" s="6" t="str">
        <f t="shared" si="10"/>
        <v/>
      </c>
    </row>
    <row r="43" spans="1:17" x14ac:dyDescent="0.25">
      <c r="A43" s="3" t="s">
        <v>43</v>
      </c>
      <c r="B43" s="7">
        <f>(((B39)+(B40))+(B41))+(B42)</f>
        <v>-532.91999999999996</v>
      </c>
      <c r="C43" s="7">
        <f>(((C39)+(C40))+(C41))+(C42)</f>
        <v>1789.25</v>
      </c>
      <c r="D43" s="7">
        <f t="shared" si="1"/>
        <v>-2322.17</v>
      </c>
      <c r="E43" s="8">
        <f t="shared" si="2"/>
        <v>-0.29784546597736478</v>
      </c>
      <c r="F43" s="7">
        <f>(((F39)+(F40))+(F41))+(F42)</f>
        <v>1389.22</v>
      </c>
      <c r="G43" s="7">
        <f>(((G39)+(G40))+(G41))+(G42)</f>
        <v>1789.25</v>
      </c>
      <c r="H43" s="7">
        <f t="shared" si="3"/>
        <v>-400.03</v>
      </c>
      <c r="I43" s="8">
        <f t="shared" si="4"/>
        <v>0.77642587676400732</v>
      </c>
      <c r="J43" s="7">
        <f>(((J39)+(J40))+(J41))+(J42)</f>
        <v>1003.22</v>
      </c>
      <c r="K43" s="7">
        <f>(((K39)+(K40))+(K41))+(K42)</f>
        <v>1789.25</v>
      </c>
      <c r="L43" s="7">
        <f t="shared" si="5"/>
        <v>-786.03</v>
      </c>
      <c r="M43" s="8">
        <f t="shared" si="6"/>
        <v>0.56069302780494623</v>
      </c>
      <c r="N43" s="7">
        <f t="shared" si="7"/>
        <v>1859.52</v>
      </c>
      <c r="O43" s="7">
        <f t="shared" si="8"/>
        <v>5367.75</v>
      </c>
      <c r="P43" s="7">
        <f t="shared" si="9"/>
        <v>-3508.23</v>
      </c>
      <c r="Q43" s="8">
        <f t="shared" si="10"/>
        <v>0.34642447953052957</v>
      </c>
    </row>
    <row r="44" spans="1:17" x14ac:dyDescent="0.25">
      <c r="A44" s="3" t="s">
        <v>44</v>
      </c>
      <c r="B44" s="4"/>
      <c r="C44" s="4"/>
      <c r="D44" s="5">
        <f t="shared" si="1"/>
        <v>0</v>
      </c>
      <c r="E44" s="6" t="str">
        <f t="shared" si="2"/>
        <v/>
      </c>
      <c r="F44" s="4"/>
      <c r="G44" s="4"/>
      <c r="H44" s="5">
        <f t="shared" si="3"/>
        <v>0</v>
      </c>
      <c r="I44" s="6" t="str">
        <f t="shared" si="4"/>
        <v/>
      </c>
      <c r="J44" s="4"/>
      <c r="K44" s="4"/>
      <c r="L44" s="5">
        <f t="shared" si="5"/>
        <v>0</v>
      </c>
      <c r="M44" s="6" t="str">
        <f t="shared" si="6"/>
        <v/>
      </c>
      <c r="N44" s="5">
        <f t="shared" si="7"/>
        <v>0</v>
      </c>
      <c r="O44" s="5">
        <f t="shared" si="8"/>
        <v>0</v>
      </c>
      <c r="P44" s="5">
        <f t="shared" si="9"/>
        <v>0</v>
      </c>
      <c r="Q44" s="6" t="str">
        <f t="shared" si="10"/>
        <v/>
      </c>
    </row>
    <row r="45" spans="1:17" x14ac:dyDescent="0.25">
      <c r="A45" s="3" t="s">
        <v>45</v>
      </c>
      <c r="B45" s="5">
        <f>202.25</f>
        <v>202.25</v>
      </c>
      <c r="C45" s="5">
        <f>154.59</f>
        <v>154.59</v>
      </c>
      <c r="D45" s="5">
        <f t="shared" si="1"/>
        <v>47.66</v>
      </c>
      <c r="E45" s="6">
        <f t="shared" si="2"/>
        <v>1.308299372533799</v>
      </c>
      <c r="F45" s="5">
        <f>202.25</f>
        <v>202.25</v>
      </c>
      <c r="G45" s="5">
        <f>154.59</f>
        <v>154.59</v>
      </c>
      <c r="H45" s="5">
        <f t="shared" si="3"/>
        <v>47.66</v>
      </c>
      <c r="I45" s="6">
        <f t="shared" si="4"/>
        <v>1.308299372533799</v>
      </c>
      <c r="J45" s="5">
        <f>202.25</f>
        <v>202.25</v>
      </c>
      <c r="K45" s="5">
        <f>154.59</f>
        <v>154.59</v>
      </c>
      <c r="L45" s="5">
        <f t="shared" si="5"/>
        <v>47.66</v>
      </c>
      <c r="M45" s="6">
        <f t="shared" si="6"/>
        <v>1.308299372533799</v>
      </c>
      <c r="N45" s="5">
        <f t="shared" si="7"/>
        <v>606.75</v>
      </c>
      <c r="O45" s="5">
        <f t="shared" si="8"/>
        <v>463.77</v>
      </c>
      <c r="P45" s="5">
        <f t="shared" si="9"/>
        <v>142.98000000000002</v>
      </c>
      <c r="Q45" s="6">
        <f t="shared" si="10"/>
        <v>1.3082993725337992</v>
      </c>
    </row>
    <row r="46" spans="1:17" x14ac:dyDescent="0.25">
      <c r="A46" s="3" t="s">
        <v>46</v>
      </c>
      <c r="B46" s="5">
        <f>108.9</f>
        <v>108.9</v>
      </c>
      <c r="C46" s="5">
        <f>83.24</f>
        <v>83.24</v>
      </c>
      <c r="D46" s="5">
        <f t="shared" ref="D46:D77" si="11">(B46)-(C46)</f>
        <v>25.660000000000011</v>
      </c>
      <c r="E46" s="6">
        <f t="shared" ref="E46:E77" si="12">IF(C46=0,"",(B46)/(C46))</f>
        <v>1.3082652570879387</v>
      </c>
      <c r="F46" s="5">
        <f>108.9</f>
        <v>108.9</v>
      </c>
      <c r="G46" s="5">
        <f>83.24</f>
        <v>83.24</v>
      </c>
      <c r="H46" s="5">
        <f t="shared" ref="H46:H77" si="13">(F46)-(G46)</f>
        <v>25.660000000000011</v>
      </c>
      <c r="I46" s="6">
        <f t="shared" ref="I46:I77" si="14">IF(G46=0,"",(F46)/(G46))</f>
        <v>1.3082652570879387</v>
      </c>
      <c r="J46" s="5">
        <f>108.9</f>
        <v>108.9</v>
      </c>
      <c r="K46" s="5">
        <f>83.24</f>
        <v>83.24</v>
      </c>
      <c r="L46" s="5">
        <f t="shared" ref="L46:L77" si="15">(J46)-(K46)</f>
        <v>25.660000000000011</v>
      </c>
      <c r="M46" s="6">
        <f t="shared" ref="M46:M77" si="16">IF(K46=0,"",(J46)/(K46))</f>
        <v>1.3082652570879387</v>
      </c>
      <c r="N46" s="5">
        <f t="shared" ref="N46:N77" si="17">((B46)+(F46))+(J46)</f>
        <v>326.70000000000005</v>
      </c>
      <c r="O46" s="5">
        <f t="shared" ref="O46:O77" si="18">((C46)+(G46))+(K46)</f>
        <v>249.71999999999997</v>
      </c>
      <c r="P46" s="5">
        <f t="shared" ref="P46:P77" si="19">(N46)-(O46)</f>
        <v>76.980000000000075</v>
      </c>
      <c r="Q46" s="6">
        <f t="shared" ref="Q46:Q77" si="20">IF(O46=0,"",(N46)/(O46))</f>
        <v>1.3082652570879387</v>
      </c>
    </row>
    <row r="47" spans="1:17" x14ac:dyDescent="0.25">
      <c r="A47" s="3" t="s">
        <v>47</v>
      </c>
      <c r="B47" s="5">
        <f>0</f>
        <v>0</v>
      </c>
      <c r="C47" s="4"/>
      <c r="D47" s="5">
        <f t="shared" si="11"/>
        <v>0</v>
      </c>
      <c r="E47" s="6" t="str">
        <f t="shared" si="12"/>
        <v/>
      </c>
      <c r="F47" s="5">
        <f>0</f>
        <v>0</v>
      </c>
      <c r="G47" s="4"/>
      <c r="H47" s="5">
        <f t="shared" si="13"/>
        <v>0</v>
      </c>
      <c r="I47" s="6" t="str">
        <f t="shared" si="14"/>
        <v/>
      </c>
      <c r="J47" s="5">
        <f>0</f>
        <v>0</v>
      </c>
      <c r="K47" s="4"/>
      <c r="L47" s="5">
        <f t="shared" si="15"/>
        <v>0</v>
      </c>
      <c r="M47" s="6" t="str">
        <f t="shared" si="16"/>
        <v/>
      </c>
      <c r="N47" s="5">
        <f t="shared" si="17"/>
        <v>0</v>
      </c>
      <c r="O47" s="5">
        <f t="shared" si="18"/>
        <v>0</v>
      </c>
      <c r="P47" s="5">
        <f t="shared" si="19"/>
        <v>0</v>
      </c>
      <c r="Q47" s="6" t="str">
        <f t="shared" si="20"/>
        <v/>
      </c>
    </row>
    <row r="48" spans="1:17" x14ac:dyDescent="0.25">
      <c r="A48" s="3" t="s">
        <v>48</v>
      </c>
      <c r="B48" s="7">
        <f>(((B44)+(B45))+(B46))+(B47)</f>
        <v>311.14999999999998</v>
      </c>
      <c r="C48" s="7">
        <f>(((C44)+(C45))+(C46))+(C47)</f>
        <v>237.82999999999998</v>
      </c>
      <c r="D48" s="7">
        <f t="shared" si="11"/>
        <v>73.319999999999993</v>
      </c>
      <c r="E48" s="8">
        <f t="shared" si="12"/>
        <v>1.3082874321994702</v>
      </c>
      <c r="F48" s="7">
        <f>(((F44)+(F45))+(F46))+(F47)</f>
        <v>311.14999999999998</v>
      </c>
      <c r="G48" s="7">
        <f>(((G44)+(G45))+(G46))+(G47)</f>
        <v>237.82999999999998</v>
      </c>
      <c r="H48" s="7">
        <f t="shared" si="13"/>
        <v>73.319999999999993</v>
      </c>
      <c r="I48" s="8">
        <f t="shared" si="14"/>
        <v>1.3082874321994702</v>
      </c>
      <c r="J48" s="7">
        <f>(((J44)+(J45))+(J46))+(J47)</f>
        <v>311.14999999999998</v>
      </c>
      <c r="K48" s="7">
        <f>(((K44)+(K45))+(K46))+(K47)</f>
        <v>237.82999999999998</v>
      </c>
      <c r="L48" s="7">
        <f t="shared" si="15"/>
        <v>73.319999999999993</v>
      </c>
      <c r="M48" s="8">
        <f t="shared" si="16"/>
        <v>1.3082874321994702</v>
      </c>
      <c r="N48" s="7">
        <f t="shared" si="17"/>
        <v>933.44999999999993</v>
      </c>
      <c r="O48" s="7">
        <f t="shared" si="18"/>
        <v>713.49</v>
      </c>
      <c r="P48" s="7">
        <f t="shared" si="19"/>
        <v>219.95999999999992</v>
      </c>
      <c r="Q48" s="8">
        <f t="shared" si="20"/>
        <v>1.3082874321994702</v>
      </c>
    </row>
    <row r="49" spans="1:17" x14ac:dyDescent="0.25">
      <c r="A49" s="3" t="s">
        <v>49</v>
      </c>
      <c r="B49" s="4"/>
      <c r="C49" s="4"/>
      <c r="D49" s="5">
        <f t="shared" si="11"/>
        <v>0</v>
      </c>
      <c r="E49" s="6" t="str">
        <f t="shared" si="12"/>
        <v/>
      </c>
      <c r="F49" s="4"/>
      <c r="G49" s="4"/>
      <c r="H49" s="5">
        <f t="shared" si="13"/>
        <v>0</v>
      </c>
      <c r="I49" s="6" t="str">
        <f t="shared" si="14"/>
        <v/>
      </c>
      <c r="J49" s="4"/>
      <c r="K49" s="4"/>
      <c r="L49" s="5">
        <f t="shared" si="15"/>
        <v>0</v>
      </c>
      <c r="M49" s="6" t="str">
        <f t="shared" si="16"/>
        <v/>
      </c>
      <c r="N49" s="5">
        <f t="shared" si="17"/>
        <v>0</v>
      </c>
      <c r="O49" s="5">
        <f t="shared" si="18"/>
        <v>0</v>
      </c>
      <c r="P49" s="5">
        <f t="shared" si="19"/>
        <v>0</v>
      </c>
      <c r="Q49" s="6" t="str">
        <f t="shared" si="20"/>
        <v/>
      </c>
    </row>
    <row r="50" spans="1:17" x14ac:dyDescent="0.25">
      <c r="A50" s="3" t="s">
        <v>50</v>
      </c>
      <c r="B50" s="5">
        <f>1334.45</f>
        <v>1334.45</v>
      </c>
      <c r="C50" s="5">
        <f>833.73</f>
        <v>833.73</v>
      </c>
      <c r="D50" s="5">
        <f t="shared" si="11"/>
        <v>500.72</v>
      </c>
      <c r="E50" s="6">
        <f t="shared" si="12"/>
        <v>1.6005781248125892</v>
      </c>
      <c r="F50" s="5">
        <f>759.69</f>
        <v>759.69</v>
      </c>
      <c r="G50" s="5">
        <f>833.73</f>
        <v>833.73</v>
      </c>
      <c r="H50" s="5">
        <f t="shared" si="13"/>
        <v>-74.039999999999964</v>
      </c>
      <c r="I50" s="6">
        <f t="shared" si="14"/>
        <v>0.91119427152675336</v>
      </c>
      <c r="J50" s="5">
        <f>2123.23</f>
        <v>2123.23</v>
      </c>
      <c r="K50" s="5">
        <f>833.73</f>
        <v>833.73</v>
      </c>
      <c r="L50" s="5">
        <f t="shared" si="15"/>
        <v>1289.5</v>
      </c>
      <c r="M50" s="6">
        <f t="shared" si="16"/>
        <v>2.5466637880368945</v>
      </c>
      <c r="N50" s="5">
        <f t="shared" si="17"/>
        <v>4217.3700000000008</v>
      </c>
      <c r="O50" s="5">
        <f t="shared" si="18"/>
        <v>2501.19</v>
      </c>
      <c r="P50" s="5">
        <f t="shared" si="19"/>
        <v>1716.1800000000007</v>
      </c>
      <c r="Q50" s="6">
        <f t="shared" si="20"/>
        <v>1.6861453947920793</v>
      </c>
    </row>
    <row r="51" spans="1:17" x14ac:dyDescent="0.25">
      <c r="A51" s="3" t="s">
        <v>51</v>
      </c>
      <c r="B51" s="5">
        <f>718.55</f>
        <v>718.55</v>
      </c>
      <c r="C51" s="5">
        <f>448.93</f>
        <v>448.93</v>
      </c>
      <c r="D51" s="5">
        <f t="shared" si="11"/>
        <v>269.61999999999995</v>
      </c>
      <c r="E51" s="6">
        <f t="shared" si="12"/>
        <v>1.6005836099169135</v>
      </c>
      <c r="F51" s="5">
        <f>409.06</f>
        <v>409.06</v>
      </c>
      <c r="G51" s="5">
        <f>448.93</f>
        <v>448.93</v>
      </c>
      <c r="H51" s="5">
        <f t="shared" si="13"/>
        <v>-39.870000000000005</v>
      </c>
      <c r="I51" s="6">
        <f t="shared" si="14"/>
        <v>0.91118882676586554</v>
      </c>
      <c r="J51" s="5">
        <f>1143.28</f>
        <v>1143.28</v>
      </c>
      <c r="K51" s="5">
        <f>448.93</f>
        <v>448.93</v>
      </c>
      <c r="L51" s="5">
        <f t="shared" si="15"/>
        <v>694.34999999999991</v>
      </c>
      <c r="M51" s="6">
        <f t="shared" si="16"/>
        <v>2.5466776557592499</v>
      </c>
      <c r="N51" s="5">
        <f t="shared" si="17"/>
        <v>2270.89</v>
      </c>
      <c r="O51" s="5">
        <f t="shared" si="18"/>
        <v>1346.79</v>
      </c>
      <c r="P51" s="5">
        <f t="shared" si="19"/>
        <v>924.09999999999991</v>
      </c>
      <c r="Q51" s="6">
        <f t="shared" si="20"/>
        <v>1.6861500308140096</v>
      </c>
    </row>
    <row r="52" spans="1:17" x14ac:dyDescent="0.25">
      <c r="A52" s="3" t="s">
        <v>52</v>
      </c>
      <c r="B52" s="5">
        <f>0</f>
        <v>0</v>
      </c>
      <c r="C52" s="4"/>
      <c r="D52" s="5">
        <f t="shared" si="11"/>
        <v>0</v>
      </c>
      <c r="E52" s="6" t="str">
        <f t="shared" si="12"/>
        <v/>
      </c>
      <c r="F52" s="5">
        <f>0</f>
        <v>0</v>
      </c>
      <c r="G52" s="4"/>
      <c r="H52" s="5">
        <f t="shared" si="13"/>
        <v>0</v>
      </c>
      <c r="I52" s="6" t="str">
        <f t="shared" si="14"/>
        <v/>
      </c>
      <c r="J52" s="5">
        <f>0</f>
        <v>0</v>
      </c>
      <c r="K52" s="4"/>
      <c r="L52" s="5">
        <f t="shared" si="15"/>
        <v>0</v>
      </c>
      <c r="M52" s="6" t="str">
        <f t="shared" si="16"/>
        <v/>
      </c>
      <c r="N52" s="5">
        <f t="shared" si="17"/>
        <v>0</v>
      </c>
      <c r="O52" s="5">
        <f t="shared" si="18"/>
        <v>0</v>
      </c>
      <c r="P52" s="5">
        <f t="shared" si="19"/>
        <v>0</v>
      </c>
      <c r="Q52" s="6" t="str">
        <f t="shared" si="20"/>
        <v/>
      </c>
    </row>
    <row r="53" spans="1:17" x14ac:dyDescent="0.25">
      <c r="A53" s="3" t="s">
        <v>53</v>
      </c>
      <c r="B53" s="7">
        <f>(((B49)+(B50))+(B51))+(B52)</f>
        <v>2053</v>
      </c>
      <c r="C53" s="7">
        <f>(((C49)+(C50))+(C51))+(C52)</f>
        <v>1282.6600000000001</v>
      </c>
      <c r="D53" s="7">
        <f t="shared" si="11"/>
        <v>770.33999999999992</v>
      </c>
      <c r="E53" s="8">
        <f t="shared" si="12"/>
        <v>1.6005800445948262</v>
      </c>
      <c r="F53" s="7">
        <f>(((F49)+(F50))+(F51))+(F52)</f>
        <v>1168.75</v>
      </c>
      <c r="G53" s="7">
        <f>(((G49)+(G50))+(G51))+(G52)</f>
        <v>1282.6600000000001</v>
      </c>
      <c r="H53" s="7">
        <f t="shared" si="13"/>
        <v>-113.91000000000008</v>
      </c>
      <c r="I53" s="8">
        <f t="shared" si="14"/>
        <v>0.91119236586468744</v>
      </c>
      <c r="J53" s="7">
        <f>(((J49)+(J50))+(J51))+(J52)</f>
        <v>3266.51</v>
      </c>
      <c r="K53" s="7">
        <f>(((K49)+(K50))+(K51))+(K52)</f>
        <v>1282.6600000000001</v>
      </c>
      <c r="L53" s="7">
        <f t="shared" si="15"/>
        <v>1983.8500000000001</v>
      </c>
      <c r="M53" s="8">
        <f t="shared" si="16"/>
        <v>2.5466686417289073</v>
      </c>
      <c r="N53" s="7">
        <f t="shared" si="17"/>
        <v>6488.26</v>
      </c>
      <c r="O53" s="7">
        <f t="shared" si="18"/>
        <v>3847.9800000000005</v>
      </c>
      <c r="P53" s="7">
        <f t="shared" si="19"/>
        <v>2640.2799999999997</v>
      </c>
      <c r="Q53" s="8">
        <f t="shared" si="20"/>
        <v>1.6861470173961401</v>
      </c>
    </row>
    <row r="54" spans="1:17" x14ac:dyDescent="0.25">
      <c r="A54" s="3" t="s">
        <v>54</v>
      </c>
      <c r="B54" s="4"/>
      <c r="C54" s="4"/>
      <c r="D54" s="5">
        <f t="shared" si="11"/>
        <v>0</v>
      </c>
      <c r="E54" s="6" t="str">
        <f t="shared" si="12"/>
        <v/>
      </c>
      <c r="F54" s="4"/>
      <c r="G54" s="4"/>
      <c r="H54" s="5">
        <f t="shared" si="13"/>
        <v>0</v>
      </c>
      <c r="I54" s="6" t="str">
        <f t="shared" si="14"/>
        <v/>
      </c>
      <c r="J54" s="4"/>
      <c r="K54" s="4"/>
      <c r="L54" s="5">
        <f t="shared" si="15"/>
        <v>0</v>
      </c>
      <c r="M54" s="6" t="str">
        <f t="shared" si="16"/>
        <v/>
      </c>
      <c r="N54" s="5">
        <f t="shared" si="17"/>
        <v>0</v>
      </c>
      <c r="O54" s="5">
        <f t="shared" si="18"/>
        <v>0</v>
      </c>
      <c r="P54" s="5">
        <f t="shared" si="19"/>
        <v>0</v>
      </c>
      <c r="Q54" s="6" t="str">
        <f t="shared" si="20"/>
        <v/>
      </c>
    </row>
    <row r="55" spans="1:17" x14ac:dyDescent="0.25">
      <c r="A55" s="3" t="s">
        <v>55</v>
      </c>
      <c r="B55" s="5">
        <f>76.28</f>
        <v>76.28</v>
      </c>
      <c r="C55" s="5">
        <f>230.75</f>
        <v>230.75</v>
      </c>
      <c r="D55" s="5">
        <f t="shared" si="11"/>
        <v>-154.47</v>
      </c>
      <c r="E55" s="6">
        <f t="shared" si="12"/>
        <v>0.3305742145178765</v>
      </c>
      <c r="F55" s="5">
        <f>76.28</f>
        <v>76.28</v>
      </c>
      <c r="G55" s="5">
        <f>230.75</f>
        <v>230.75</v>
      </c>
      <c r="H55" s="5">
        <f t="shared" si="13"/>
        <v>-154.47</v>
      </c>
      <c r="I55" s="6">
        <f t="shared" si="14"/>
        <v>0.3305742145178765</v>
      </c>
      <c r="J55" s="5">
        <f>114.43</f>
        <v>114.43</v>
      </c>
      <c r="K55" s="5">
        <f>230.75</f>
        <v>230.75</v>
      </c>
      <c r="L55" s="5">
        <f t="shared" si="15"/>
        <v>-116.32</v>
      </c>
      <c r="M55" s="6">
        <f t="shared" si="16"/>
        <v>0.49590465872156014</v>
      </c>
      <c r="N55" s="5">
        <f t="shared" si="17"/>
        <v>266.99</v>
      </c>
      <c r="O55" s="5">
        <f t="shared" si="18"/>
        <v>692.25</v>
      </c>
      <c r="P55" s="5">
        <f t="shared" si="19"/>
        <v>-425.26</v>
      </c>
      <c r="Q55" s="6">
        <f t="shared" si="20"/>
        <v>0.38568436258577105</v>
      </c>
    </row>
    <row r="56" spans="1:17" x14ac:dyDescent="0.25">
      <c r="A56" s="3" t="s">
        <v>56</v>
      </c>
      <c r="B56" s="5">
        <f>41.08</f>
        <v>41.08</v>
      </c>
      <c r="C56" s="5">
        <f>124.25</f>
        <v>124.25</v>
      </c>
      <c r="D56" s="5">
        <f t="shared" si="11"/>
        <v>-83.17</v>
      </c>
      <c r="E56" s="6">
        <f t="shared" si="12"/>
        <v>0.33062374245472836</v>
      </c>
      <c r="F56" s="5">
        <f>41.08</f>
        <v>41.08</v>
      </c>
      <c r="G56" s="5">
        <f>124.25</f>
        <v>124.25</v>
      </c>
      <c r="H56" s="5">
        <f t="shared" si="13"/>
        <v>-83.17</v>
      </c>
      <c r="I56" s="6">
        <f t="shared" si="14"/>
        <v>0.33062374245472836</v>
      </c>
      <c r="J56" s="5">
        <f>61.61</f>
        <v>61.61</v>
      </c>
      <c r="K56" s="5">
        <f>124.25</f>
        <v>124.25</v>
      </c>
      <c r="L56" s="5">
        <f t="shared" si="15"/>
        <v>-62.64</v>
      </c>
      <c r="M56" s="6">
        <f t="shared" si="16"/>
        <v>0.49585513078470822</v>
      </c>
      <c r="N56" s="5">
        <f t="shared" si="17"/>
        <v>143.76999999999998</v>
      </c>
      <c r="O56" s="5">
        <f t="shared" si="18"/>
        <v>372.75</v>
      </c>
      <c r="P56" s="5">
        <f t="shared" si="19"/>
        <v>-228.98000000000002</v>
      </c>
      <c r="Q56" s="6">
        <f t="shared" si="20"/>
        <v>0.38570087189805496</v>
      </c>
    </row>
    <row r="57" spans="1:17" x14ac:dyDescent="0.25">
      <c r="A57" s="3" t="s">
        <v>57</v>
      </c>
      <c r="B57" s="5">
        <f>0</f>
        <v>0</v>
      </c>
      <c r="C57" s="4"/>
      <c r="D57" s="5">
        <f t="shared" si="11"/>
        <v>0</v>
      </c>
      <c r="E57" s="6" t="str">
        <f t="shared" si="12"/>
        <v/>
      </c>
      <c r="F57" s="5">
        <f>0</f>
        <v>0</v>
      </c>
      <c r="G57" s="4"/>
      <c r="H57" s="5">
        <f t="shared" si="13"/>
        <v>0</v>
      </c>
      <c r="I57" s="6" t="str">
        <f t="shared" si="14"/>
        <v/>
      </c>
      <c r="J57" s="5">
        <f>0</f>
        <v>0</v>
      </c>
      <c r="K57" s="4"/>
      <c r="L57" s="5">
        <f t="shared" si="15"/>
        <v>0</v>
      </c>
      <c r="M57" s="6" t="str">
        <f t="shared" si="16"/>
        <v/>
      </c>
      <c r="N57" s="5">
        <f t="shared" si="17"/>
        <v>0</v>
      </c>
      <c r="O57" s="5">
        <f t="shared" si="18"/>
        <v>0</v>
      </c>
      <c r="P57" s="5">
        <f t="shared" si="19"/>
        <v>0</v>
      </c>
      <c r="Q57" s="6" t="str">
        <f t="shared" si="20"/>
        <v/>
      </c>
    </row>
    <row r="58" spans="1:17" x14ac:dyDescent="0.25">
      <c r="A58" s="3" t="s">
        <v>58</v>
      </c>
      <c r="B58" s="7">
        <f>(((B54)+(B55))+(B56))+(B57)</f>
        <v>117.36</v>
      </c>
      <c r="C58" s="7">
        <f>(((C54)+(C55))+(C56))+(C57)</f>
        <v>355</v>
      </c>
      <c r="D58" s="7">
        <f t="shared" si="11"/>
        <v>-237.64</v>
      </c>
      <c r="E58" s="8">
        <f t="shared" si="12"/>
        <v>0.33059154929577467</v>
      </c>
      <c r="F58" s="7">
        <f>(((F54)+(F55))+(F56))+(F57)</f>
        <v>117.36</v>
      </c>
      <c r="G58" s="7">
        <f>(((G54)+(G55))+(G56))+(G57)</f>
        <v>355</v>
      </c>
      <c r="H58" s="7">
        <f t="shared" si="13"/>
        <v>-237.64</v>
      </c>
      <c r="I58" s="8">
        <f t="shared" si="14"/>
        <v>0.33059154929577467</v>
      </c>
      <c r="J58" s="7">
        <f>(((J54)+(J55))+(J56))+(J57)</f>
        <v>176.04000000000002</v>
      </c>
      <c r="K58" s="7">
        <f>(((K54)+(K55))+(K56))+(K57)</f>
        <v>355</v>
      </c>
      <c r="L58" s="7">
        <f t="shared" si="15"/>
        <v>-178.95999999999998</v>
      </c>
      <c r="M58" s="8">
        <f t="shared" si="16"/>
        <v>0.49588732394366203</v>
      </c>
      <c r="N58" s="7">
        <f t="shared" si="17"/>
        <v>410.76</v>
      </c>
      <c r="O58" s="7">
        <f t="shared" si="18"/>
        <v>1065</v>
      </c>
      <c r="P58" s="7">
        <f t="shared" si="19"/>
        <v>-654.24</v>
      </c>
      <c r="Q58" s="8">
        <f t="shared" si="20"/>
        <v>0.38569014084507042</v>
      </c>
    </row>
    <row r="59" spans="1:17" x14ac:dyDescent="0.25">
      <c r="A59" s="3" t="s">
        <v>59</v>
      </c>
      <c r="B59" s="4"/>
      <c r="C59" s="4"/>
      <c r="D59" s="5">
        <f t="shared" si="11"/>
        <v>0</v>
      </c>
      <c r="E59" s="6" t="str">
        <f t="shared" si="12"/>
        <v/>
      </c>
      <c r="F59" s="4"/>
      <c r="G59" s="4"/>
      <c r="H59" s="5">
        <f t="shared" si="13"/>
        <v>0</v>
      </c>
      <c r="I59" s="6" t="str">
        <f t="shared" si="14"/>
        <v/>
      </c>
      <c r="J59" s="4"/>
      <c r="K59" s="4"/>
      <c r="L59" s="5">
        <f t="shared" si="15"/>
        <v>0</v>
      </c>
      <c r="M59" s="6" t="str">
        <f t="shared" si="16"/>
        <v/>
      </c>
      <c r="N59" s="5">
        <f t="shared" si="17"/>
        <v>0</v>
      </c>
      <c r="O59" s="5">
        <f t="shared" si="18"/>
        <v>0</v>
      </c>
      <c r="P59" s="5">
        <f t="shared" si="19"/>
        <v>0</v>
      </c>
      <c r="Q59" s="6" t="str">
        <f t="shared" si="20"/>
        <v/>
      </c>
    </row>
    <row r="60" spans="1:17" x14ac:dyDescent="0.25">
      <c r="A60" s="3" t="s">
        <v>60</v>
      </c>
      <c r="B60" s="5">
        <f>581.1</f>
        <v>581.1</v>
      </c>
      <c r="C60" s="5">
        <f>507</f>
        <v>507</v>
      </c>
      <c r="D60" s="5">
        <f t="shared" si="11"/>
        <v>74.100000000000023</v>
      </c>
      <c r="E60" s="6">
        <f t="shared" si="12"/>
        <v>1.1461538461538463</v>
      </c>
      <c r="F60" s="5">
        <f>581.1</f>
        <v>581.1</v>
      </c>
      <c r="G60" s="5">
        <f>507</f>
        <v>507</v>
      </c>
      <c r="H60" s="5">
        <f t="shared" si="13"/>
        <v>74.100000000000023</v>
      </c>
      <c r="I60" s="6">
        <f t="shared" si="14"/>
        <v>1.1461538461538463</v>
      </c>
      <c r="J60" s="5">
        <f>581.1</f>
        <v>581.1</v>
      </c>
      <c r="K60" s="5">
        <f>507</f>
        <v>507</v>
      </c>
      <c r="L60" s="5">
        <f t="shared" si="15"/>
        <v>74.100000000000023</v>
      </c>
      <c r="M60" s="6">
        <f t="shared" si="16"/>
        <v>1.1461538461538463</v>
      </c>
      <c r="N60" s="5">
        <f t="shared" si="17"/>
        <v>1743.3000000000002</v>
      </c>
      <c r="O60" s="5">
        <f t="shared" si="18"/>
        <v>1521</v>
      </c>
      <c r="P60" s="5">
        <f t="shared" si="19"/>
        <v>222.30000000000018</v>
      </c>
      <c r="Q60" s="6">
        <f t="shared" si="20"/>
        <v>1.1461538461538463</v>
      </c>
    </row>
    <row r="61" spans="1:17" x14ac:dyDescent="0.25">
      <c r="A61" s="3" t="s">
        <v>61</v>
      </c>
      <c r="B61" s="5">
        <f>312.9</f>
        <v>312.89999999999998</v>
      </c>
      <c r="C61" s="5">
        <f>273</f>
        <v>273</v>
      </c>
      <c r="D61" s="5">
        <f t="shared" si="11"/>
        <v>39.899999999999977</v>
      </c>
      <c r="E61" s="6">
        <f t="shared" si="12"/>
        <v>1.1461538461538461</v>
      </c>
      <c r="F61" s="5">
        <f>312.9</f>
        <v>312.89999999999998</v>
      </c>
      <c r="G61" s="5">
        <f>273</f>
        <v>273</v>
      </c>
      <c r="H61" s="5">
        <f t="shared" si="13"/>
        <v>39.899999999999977</v>
      </c>
      <c r="I61" s="6">
        <f t="shared" si="14"/>
        <v>1.1461538461538461</v>
      </c>
      <c r="J61" s="5">
        <f>312.9</f>
        <v>312.89999999999998</v>
      </c>
      <c r="K61" s="5">
        <f>273</f>
        <v>273</v>
      </c>
      <c r="L61" s="5">
        <f t="shared" si="15"/>
        <v>39.899999999999977</v>
      </c>
      <c r="M61" s="6">
        <f t="shared" si="16"/>
        <v>1.1461538461538461</v>
      </c>
      <c r="N61" s="5">
        <f t="shared" si="17"/>
        <v>938.69999999999993</v>
      </c>
      <c r="O61" s="5">
        <f t="shared" si="18"/>
        <v>819</v>
      </c>
      <c r="P61" s="5">
        <f t="shared" si="19"/>
        <v>119.69999999999993</v>
      </c>
      <c r="Q61" s="6">
        <f t="shared" si="20"/>
        <v>1.1461538461538461</v>
      </c>
    </row>
    <row r="62" spans="1:17" x14ac:dyDescent="0.25">
      <c r="A62" s="3" t="s">
        <v>62</v>
      </c>
      <c r="B62" s="5">
        <f>0</f>
        <v>0</v>
      </c>
      <c r="C62" s="4"/>
      <c r="D62" s="5">
        <f t="shared" si="11"/>
        <v>0</v>
      </c>
      <c r="E62" s="6" t="str">
        <f t="shared" si="12"/>
        <v/>
      </c>
      <c r="F62" s="5">
        <f>0</f>
        <v>0</v>
      </c>
      <c r="G62" s="4"/>
      <c r="H62" s="5">
        <f t="shared" si="13"/>
        <v>0</v>
      </c>
      <c r="I62" s="6" t="str">
        <f t="shared" si="14"/>
        <v/>
      </c>
      <c r="J62" s="5">
        <f>0</f>
        <v>0</v>
      </c>
      <c r="K62" s="4"/>
      <c r="L62" s="5">
        <f t="shared" si="15"/>
        <v>0</v>
      </c>
      <c r="M62" s="6" t="str">
        <f t="shared" si="16"/>
        <v/>
      </c>
      <c r="N62" s="5">
        <f t="shared" si="17"/>
        <v>0</v>
      </c>
      <c r="O62" s="5">
        <f t="shared" si="18"/>
        <v>0</v>
      </c>
      <c r="P62" s="5">
        <f t="shared" si="19"/>
        <v>0</v>
      </c>
      <c r="Q62" s="6" t="str">
        <f t="shared" si="20"/>
        <v/>
      </c>
    </row>
    <row r="63" spans="1:17" x14ac:dyDescent="0.25">
      <c r="A63" s="3" t="s">
        <v>63</v>
      </c>
      <c r="B63" s="7">
        <f>(((B59)+(B60))+(B61))+(B62)</f>
        <v>894</v>
      </c>
      <c r="C63" s="7">
        <f>(((C59)+(C60))+(C61))+(C62)</f>
        <v>780</v>
      </c>
      <c r="D63" s="7">
        <f t="shared" si="11"/>
        <v>114</v>
      </c>
      <c r="E63" s="8">
        <f t="shared" si="12"/>
        <v>1.1461538461538461</v>
      </c>
      <c r="F63" s="7">
        <f>(((F59)+(F60))+(F61))+(F62)</f>
        <v>894</v>
      </c>
      <c r="G63" s="7">
        <f>(((G59)+(G60))+(G61))+(G62)</f>
        <v>780</v>
      </c>
      <c r="H63" s="7">
        <f t="shared" si="13"/>
        <v>114</v>
      </c>
      <c r="I63" s="8">
        <f t="shared" si="14"/>
        <v>1.1461538461538461</v>
      </c>
      <c r="J63" s="7">
        <f>(((J59)+(J60))+(J61))+(J62)</f>
        <v>894</v>
      </c>
      <c r="K63" s="7">
        <f>(((K59)+(K60))+(K61))+(K62)</f>
        <v>780</v>
      </c>
      <c r="L63" s="7">
        <f t="shared" si="15"/>
        <v>114</v>
      </c>
      <c r="M63" s="8">
        <f t="shared" si="16"/>
        <v>1.1461538461538461</v>
      </c>
      <c r="N63" s="7">
        <f t="shared" si="17"/>
        <v>2682</v>
      </c>
      <c r="O63" s="7">
        <f t="shared" si="18"/>
        <v>2340</v>
      </c>
      <c r="P63" s="7">
        <f t="shared" si="19"/>
        <v>342</v>
      </c>
      <c r="Q63" s="8">
        <f t="shared" si="20"/>
        <v>1.1461538461538461</v>
      </c>
    </row>
    <row r="64" spans="1:17" x14ac:dyDescent="0.25">
      <c r="A64" s="3" t="s">
        <v>64</v>
      </c>
      <c r="B64" s="4"/>
      <c r="C64" s="4"/>
      <c r="D64" s="5">
        <f t="shared" si="11"/>
        <v>0</v>
      </c>
      <c r="E64" s="6" t="str">
        <f t="shared" si="12"/>
        <v/>
      </c>
      <c r="F64" s="4"/>
      <c r="G64" s="4"/>
      <c r="H64" s="5">
        <f t="shared" si="13"/>
        <v>0</v>
      </c>
      <c r="I64" s="6" t="str">
        <f t="shared" si="14"/>
        <v/>
      </c>
      <c r="J64" s="4"/>
      <c r="K64" s="4"/>
      <c r="L64" s="5">
        <f t="shared" si="15"/>
        <v>0</v>
      </c>
      <c r="M64" s="6" t="str">
        <f t="shared" si="16"/>
        <v/>
      </c>
      <c r="N64" s="5">
        <f t="shared" si="17"/>
        <v>0</v>
      </c>
      <c r="O64" s="5">
        <f t="shared" si="18"/>
        <v>0</v>
      </c>
      <c r="P64" s="5">
        <f t="shared" si="19"/>
        <v>0</v>
      </c>
      <c r="Q64" s="6" t="str">
        <f t="shared" si="20"/>
        <v/>
      </c>
    </row>
    <row r="65" spans="1:17" x14ac:dyDescent="0.25">
      <c r="A65" s="3" t="s">
        <v>65</v>
      </c>
      <c r="B65" s="5">
        <f>706.98</f>
        <v>706.98</v>
      </c>
      <c r="C65" s="5">
        <f>498.33</f>
        <v>498.33</v>
      </c>
      <c r="D65" s="5">
        <f t="shared" si="11"/>
        <v>208.65000000000003</v>
      </c>
      <c r="E65" s="6">
        <f t="shared" si="12"/>
        <v>1.4186984528324604</v>
      </c>
      <c r="F65" s="5">
        <f>417.42</f>
        <v>417.42</v>
      </c>
      <c r="G65" s="5">
        <f>498.33</f>
        <v>498.33</v>
      </c>
      <c r="H65" s="5">
        <f t="shared" si="13"/>
        <v>-80.909999999999968</v>
      </c>
      <c r="I65" s="6">
        <f t="shared" si="14"/>
        <v>0.83763770995123721</v>
      </c>
      <c r="J65" s="5">
        <f>442.62</f>
        <v>442.62</v>
      </c>
      <c r="K65" s="5">
        <f>498.33</f>
        <v>498.33</v>
      </c>
      <c r="L65" s="5">
        <f t="shared" si="15"/>
        <v>-55.70999999999998</v>
      </c>
      <c r="M65" s="6">
        <f t="shared" si="16"/>
        <v>0.88820661007765944</v>
      </c>
      <c r="N65" s="5">
        <f t="shared" si="17"/>
        <v>1567.02</v>
      </c>
      <c r="O65" s="5">
        <f t="shared" si="18"/>
        <v>1494.99</v>
      </c>
      <c r="P65" s="5">
        <f t="shared" si="19"/>
        <v>72.029999999999973</v>
      </c>
      <c r="Q65" s="6">
        <f t="shared" si="20"/>
        <v>1.048180924287119</v>
      </c>
    </row>
    <row r="66" spans="1:17" x14ac:dyDescent="0.25">
      <c r="A66" s="3" t="s">
        <v>66</v>
      </c>
      <c r="B66" s="5">
        <f>380.68</f>
        <v>380.68</v>
      </c>
      <c r="C66" s="5">
        <f>268.33</f>
        <v>268.33</v>
      </c>
      <c r="D66" s="5">
        <f t="shared" si="11"/>
        <v>112.35000000000002</v>
      </c>
      <c r="E66" s="6">
        <f t="shared" si="12"/>
        <v>1.4187008534267507</v>
      </c>
      <c r="F66" s="5">
        <f>224.77</f>
        <v>224.77</v>
      </c>
      <c r="G66" s="5">
        <f>268.33</f>
        <v>268.33</v>
      </c>
      <c r="H66" s="5">
        <f t="shared" si="13"/>
        <v>-43.559999999999974</v>
      </c>
      <c r="I66" s="6">
        <f t="shared" si="14"/>
        <v>0.83766257965937474</v>
      </c>
      <c r="J66" s="5">
        <f>238.34</f>
        <v>238.34</v>
      </c>
      <c r="K66" s="5">
        <f>268.33</f>
        <v>268.33</v>
      </c>
      <c r="L66" s="5">
        <f t="shared" si="15"/>
        <v>-29.989999999999981</v>
      </c>
      <c r="M66" s="6">
        <f t="shared" si="16"/>
        <v>0.88823463645511136</v>
      </c>
      <c r="N66" s="5">
        <f t="shared" si="17"/>
        <v>843.79000000000008</v>
      </c>
      <c r="O66" s="5">
        <f t="shared" si="18"/>
        <v>804.99</v>
      </c>
      <c r="P66" s="5">
        <f t="shared" si="19"/>
        <v>38.800000000000068</v>
      </c>
      <c r="Q66" s="6">
        <f t="shared" si="20"/>
        <v>1.0481993565137455</v>
      </c>
    </row>
    <row r="67" spans="1:17" x14ac:dyDescent="0.25">
      <c r="A67" s="3" t="s">
        <v>67</v>
      </c>
      <c r="B67" s="5">
        <f>0</f>
        <v>0</v>
      </c>
      <c r="C67" s="4"/>
      <c r="D67" s="5">
        <f t="shared" si="11"/>
        <v>0</v>
      </c>
      <c r="E67" s="6" t="str">
        <f t="shared" si="12"/>
        <v/>
      </c>
      <c r="F67" s="5">
        <f>0</f>
        <v>0</v>
      </c>
      <c r="G67" s="4"/>
      <c r="H67" s="5">
        <f t="shared" si="13"/>
        <v>0</v>
      </c>
      <c r="I67" s="6" t="str">
        <f t="shared" si="14"/>
        <v/>
      </c>
      <c r="J67" s="5">
        <f>0</f>
        <v>0</v>
      </c>
      <c r="K67" s="4"/>
      <c r="L67" s="5">
        <f t="shared" si="15"/>
        <v>0</v>
      </c>
      <c r="M67" s="6" t="str">
        <f t="shared" si="16"/>
        <v/>
      </c>
      <c r="N67" s="5">
        <f t="shared" si="17"/>
        <v>0</v>
      </c>
      <c r="O67" s="5">
        <f t="shared" si="18"/>
        <v>0</v>
      </c>
      <c r="P67" s="5">
        <f t="shared" si="19"/>
        <v>0</v>
      </c>
      <c r="Q67" s="6" t="str">
        <f t="shared" si="20"/>
        <v/>
      </c>
    </row>
    <row r="68" spans="1:17" x14ac:dyDescent="0.25">
      <c r="A68" s="3" t="s">
        <v>68</v>
      </c>
      <c r="B68" s="7">
        <f>(((B64)+(B65))+(B66))+(B67)</f>
        <v>1087.6600000000001</v>
      </c>
      <c r="C68" s="7">
        <f>(((C64)+(C65))+(C66))+(C67)</f>
        <v>766.66</v>
      </c>
      <c r="D68" s="7">
        <f t="shared" si="11"/>
        <v>321.00000000000011</v>
      </c>
      <c r="E68" s="8">
        <f t="shared" si="12"/>
        <v>1.418699293037331</v>
      </c>
      <c r="F68" s="7">
        <f>(((F64)+(F65))+(F66))+(F67)</f>
        <v>642.19000000000005</v>
      </c>
      <c r="G68" s="7">
        <f>(((G64)+(G65))+(G66))+(G67)</f>
        <v>766.66</v>
      </c>
      <c r="H68" s="7">
        <f t="shared" si="13"/>
        <v>-124.46999999999991</v>
      </c>
      <c r="I68" s="8">
        <f t="shared" si="14"/>
        <v>0.83764641431664633</v>
      </c>
      <c r="J68" s="7">
        <f>(((J64)+(J65))+(J66))+(J67)</f>
        <v>680.96</v>
      </c>
      <c r="K68" s="7">
        <f>(((K64)+(K65))+(K66))+(K67)</f>
        <v>766.66</v>
      </c>
      <c r="L68" s="7">
        <f t="shared" si="15"/>
        <v>-85.699999999999932</v>
      </c>
      <c r="M68" s="8">
        <f t="shared" si="16"/>
        <v>0.88821641927321116</v>
      </c>
      <c r="N68" s="7">
        <f t="shared" si="17"/>
        <v>2410.8100000000004</v>
      </c>
      <c r="O68" s="7">
        <f t="shared" si="18"/>
        <v>2299.98</v>
      </c>
      <c r="P68" s="7">
        <f t="shared" si="19"/>
        <v>110.83000000000038</v>
      </c>
      <c r="Q68" s="8">
        <f t="shared" si="20"/>
        <v>1.0481873755423963</v>
      </c>
    </row>
    <row r="69" spans="1:17" x14ac:dyDescent="0.25">
      <c r="A69" s="3" t="s">
        <v>69</v>
      </c>
      <c r="B69" s="4"/>
      <c r="C69" s="4"/>
      <c r="D69" s="5">
        <f t="shared" si="11"/>
        <v>0</v>
      </c>
      <c r="E69" s="6" t="str">
        <f t="shared" si="12"/>
        <v/>
      </c>
      <c r="F69" s="4"/>
      <c r="G69" s="4"/>
      <c r="H69" s="5">
        <f t="shared" si="13"/>
        <v>0</v>
      </c>
      <c r="I69" s="6" t="str">
        <f t="shared" si="14"/>
        <v/>
      </c>
      <c r="J69" s="4"/>
      <c r="K69" s="4"/>
      <c r="L69" s="5">
        <f t="shared" si="15"/>
        <v>0</v>
      </c>
      <c r="M69" s="6" t="str">
        <f t="shared" si="16"/>
        <v/>
      </c>
      <c r="N69" s="5">
        <f t="shared" si="17"/>
        <v>0</v>
      </c>
      <c r="O69" s="5">
        <f t="shared" si="18"/>
        <v>0</v>
      </c>
      <c r="P69" s="5">
        <f t="shared" si="19"/>
        <v>0</v>
      </c>
      <c r="Q69" s="6" t="str">
        <f t="shared" si="20"/>
        <v/>
      </c>
    </row>
    <row r="70" spans="1:17" x14ac:dyDescent="0.25">
      <c r="A70" s="3" t="s">
        <v>70</v>
      </c>
      <c r="B70" s="4"/>
      <c r="C70" s="5">
        <f>260</f>
        <v>260</v>
      </c>
      <c r="D70" s="5">
        <f t="shared" si="11"/>
        <v>-260</v>
      </c>
      <c r="E70" s="6">
        <f t="shared" si="12"/>
        <v>0</v>
      </c>
      <c r="F70" s="4"/>
      <c r="G70" s="5">
        <f>260</f>
        <v>260</v>
      </c>
      <c r="H70" s="5">
        <f t="shared" si="13"/>
        <v>-260</v>
      </c>
      <c r="I70" s="6">
        <f t="shared" si="14"/>
        <v>0</v>
      </c>
      <c r="J70" s="4"/>
      <c r="K70" s="5">
        <f>260</f>
        <v>260</v>
      </c>
      <c r="L70" s="5">
        <f t="shared" si="15"/>
        <v>-260</v>
      </c>
      <c r="M70" s="6">
        <f t="shared" si="16"/>
        <v>0</v>
      </c>
      <c r="N70" s="5">
        <f t="shared" si="17"/>
        <v>0</v>
      </c>
      <c r="O70" s="5">
        <f t="shared" si="18"/>
        <v>780</v>
      </c>
      <c r="P70" s="5">
        <f t="shared" si="19"/>
        <v>-780</v>
      </c>
      <c r="Q70" s="6">
        <f t="shared" si="20"/>
        <v>0</v>
      </c>
    </row>
    <row r="71" spans="1:17" x14ac:dyDescent="0.25">
      <c r="A71" s="3" t="s">
        <v>71</v>
      </c>
      <c r="B71" s="4"/>
      <c r="C71" s="5">
        <f>140</f>
        <v>140</v>
      </c>
      <c r="D71" s="5">
        <f t="shared" si="11"/>
        <v>-140</v>
      </c>
      <c r="E71" s="6">
        <f t="shared" si="12"/>
        <v>0</v>
      </c>
      <c r="F71" s="4"/>
      <c r="G71" s="5">
        <f>140</f>
        <v>140</v>
      </c>
      <c r="H71" s="5">
        <f t="shared" si="13"/>
        <v>-140</v>
      </c>
      <c r="I71" s="6">
        <f t="shared" si="14"/>
        <v>0</v>
      </c>
      <c r="J71" s="4"/>
      <c r="K71" s="5">
        <f>140</f>
        <v>140</v>
      </c>
      <c r="L71" s="5">
        <f t="shared" si="15"/>
        <v>-140</v>
      </c>
      <c r="M71" s="6">
        <f t="shared" si="16"/>
        <v>0</v>
      </c>
      <c r="N71" s="5">
        <f t="shared" si="17"/>
        <v>0</v>
      </c>
      <c r="O71" s="5">
        <f t="shared" si="18"/>
        <v>420</v>
      </c>
      <c r="P71" s="5">
        <f t="shared" si="19"/>
        <v>-420</v>
      </c>
      <c r="Q71" s="6">
        <f t="shared" si="20"/>
        <v>0</v>
      </c>
    </row>
    <row r="72" spans="1:17" x14ac:dyDescent="0.25">
      <c r="A72" s="3" t="s">
        <v>72</v>
      </c>
      <c r="B72" s="7">
        <f>((B69)+(B70))+(B71)</f>
        <v>0</v>
      </c>
      <c r="C72" s="7">
        <f>((C69)+(C70))+(C71)</f>
        <v>400</v>
      </c>
      <c r="D72" s="7">
        <f t="shared" si="11"/>
        <v>-400</v>
      </c>
      <c r="E72" s="8">
        <f t="shared" si="12"/>
        <v>0</v>
      </c>
      <c r="F72" s="7">
        <f>((F69)+(F70))+(F71)</f>
        <v>0</v>
      </c>
      <c r="G72" s="7">
        <f>((G69)+(G70))+(G71)</f>
        <v>400</v>
      </c>
      <c r="H72" s="7">
        <f t="shared" si="13"/>
        <v>-400</v>
      </c>
      <c r="I72" s="8">
        <f t="shared" si="14"/>
        <v>0</v>
      </c>
      <c r="J72" s="7">
        <f>((J69)+(J70))+(J71)</f>
        <v>0</v>
      </c>
      <c r="K72" s="7">
        <f>((K69)+(K70))+(K71)</f>
        <v>400</v>
      </c>
      <c r="L72" s="7">
        <f t="shared" si="15"/>
        <v>-400</v>
      </c>
      <c r="M72" s="8">
        <f t="shared" si="16"/>
        <v>0</v>
      </c>
      <c r="N72" s="7">
        <f t="shared" si="17"/>
        <v>0</v>
      </c>
      <c r="O72" s="7">
        <f t="shared" si="18"/>
        <v>1200</v>
      </c>
      <c r="P72" s="7">
        <f t="shared" si="19"/>
        <v>-1200</v>
      </c>
      <c r="Q72" s="8">
        <f t="shared" si="20"/>
        <v>0</v>
      </c>
    </row>
    <row r="73" spans="1:17" x14ac:dyDescent="0.25">
      <c r="A73" s="3" t="s">
        <v>73</v>
      </c>
      <c r="B73" s="4"/>
      <c r="C73" s="4"/>
      <c r="D73" s="5">
        <f t="shared" si="11"/>
        <v>0</v>
      </c>
      <c r="E73" s="6" t="str">
        <f t="shared" si="12"/>
        <v/>
      </c>
      <c r="F73" s="4"/>
      <c r="G73" s="4"/>
      <c r="H73" s="5">
        <f t="shared" si="13"/>
        <v>0</v>
      </c>
      <c r="I73" s="6" t="str">
        <f t="shared" si="14"/>
        <v/>
      </c>
      <c r="J73" s="4"/>
      <c r="K73" s="4"/>
      <c r="L73" s="5">
        <f t="shared" si="15"/>
        <v>0</v>
      </c>
      <c r="M73" s="6" t="str">
        <f t="shared" si="16"/>
        <v/>
      </c>
      <c r="N73" s="5">
        <f t="shared" si="17"/>
        <v>0</v>
      </c>
      <c r="O73" s="5">
        <f t="shared" si="18"/>
        <v>0</v>
      </c>
      <c r="P73" s="5">
        <f t="shared" si="19"/>
        <v>0</v>
      </c>
      <c r="Q73" s="6" t="str">
        <f t="shared" si="20"/>
        <v/>
      </c>
    </row>
    <row r="74" spans="1:17" x14ac:dyDescent="0.25">
      <c r="A74" s="3" t="s">
        <v>74</v>
      </c>
      <c r="B74" s="5">
        <f>132.8</f>
        <v>132.80000000000001</v>
      </c>
      <c r="C74" s="5">
        <f>237.95</f>
        <v>237.95</v>
      </c>
      <c r="D74" s="5">
        <f t="shared" si="11"/>
        <v>-105.14999999999998</v>
      </c>
      <c r="E74" s="6">
        <f t="shared" si="12"/>
        <v>0.55810044126917424</v>
      </c>
      <c r="F74" s="5">
        <f>150.53</f>
        <v>150.53</v>
      </c>
      <c r="G74" s="5">
        <f>237.95</f>
        <v>237.95</v>
      </c>
      <c r="H74" s="5">
        <f t="shared" si="13"/>
        <v>-87.419999999999987</v>
      </c>
      <c r="I74" s="6">
        <f t="shared" si="14"/>
        <v>0.63261189325488554</v>
      </c>
      <c r="J74" s="5">
        <f>154.26</f>
        <v>154.26</v>
      </c>
      <c r="K74" s="5">
        <f>237.95</f>
        <v>237.95</v>
      </c>
      <c r="L74" s="5">
        <f t="shared" si="15"/>
        <v>-83.69</v>
      </c>
      <c r="M74" s="6">
        <f t="shared" si="16"/>
        <v>0.64828745534776211</v>
      </c>
      <c r="N74" s="5">
        <f t="shared" si="17"/>
        <v>437.59000000000003</v>
      </c>
      <c r="O74" s="5">
        <f t="shared" si="18"/>
        <v>713.84999999999991</v>
      </c>
      <c r="P74" s="5">
        <f t="shared" si="19"/>
        <v>-276.25999999999988</v>
      </c>
      <c r="Q74" s="6">
        <f t="shared" si="20"/>
        <v>0.61299992995727404</v>
      </c>
    </row>
    <row r="75" spans="1:17" x14ac:dyDescent="0.25">
      <c r="A75" s="3" t="s">
        <v>75</v>
      </c>
      <c r="B75" s="5">
        <f>71.51</f>
        <v>71.510000000000005</v>
      </c>
      <c r="C75" s="5">
        <f>128.13</f>
        <v>128.13</v>
      </c>
      <c r="D75" s="5">
        <f t="shared" si="11"/>
        <v>-56.61999999999999</v>
      </c>
      <c r="E75" s="6">
        <f t="shared" si="12"/>
        <v>0.55810504955904161</v>
      </c>
      <c r="F75" s="5">
        <f>81.06</f>
        <v>81.06</v>
      </c>
      <c r="G75" s="5">
        <f>128.13</f>
        <v>128.13</v>
      </c>
      <c r="H75" s="5">
        <f t="shared" si="13"/>
        <v>-47.069999999999993</v>
      </c>
      <c r="I75" s="6">
        <f t="shared" si="14"/>
        <v>0.63263872629360807</v>
      </c>
      <c r="J75" s="5">
        <f>83.07</f>
        <v>83.07</v>
      </c>
      <c r="K75" s="5">
        <f>128.13</f>
        <v>128.13</v>
      </c>
      <c r="L75" s="5">
        <f t="shared" si="15"/>
        <v>-45.06</v>
      </c>
      <c r="M75" s="6">
        <f t="shared" si="16"/>
        <v>0.64832591898852721</v>
      </c>
      <c r="N75" s="5">
        <f t="shared" si="17"/>
        <v>235.64</v>
      </c>
      <c r="O75" s="5">
        <f t="shared" si="18"/>
        <v>384.39</v>
      </c>
      <c r="P75" s="5">
        <f t="shared" si="19"/>
        <v>-148.75</v>
      </c>
      <c r="Q75" s="6">
        <f t="shared" si="20"/>
        <v>0.61302323161372563</v>
      </c>
    </row>
    <row r="76" spans="1:17" x14ac:dyDescent="0.25">
      <c r="A76" s="3" t="s">
        <v>76</v>
      </c>
      <c r="B76" s="5">
        <f>0</f>
        <v>0</v>
      </c>
      <c r="C76" s="4"/>
      <c r="D76" s="5">
        <f t="shared" si="11"/>
        <v>0</v>
      </c>
      <c r="E76" s="6" t="str">
        <f t="shared" si="12"/>
        <v/>
      </c>
      <c r="F76" s="5">
        <f>0</f>
        <v>0</v>
      </c>
      <c r="G76" s="4"/>
      <c r="H76" s="5">
        <f t="shared" si="13"/>
        <v>0</v>
      </c>
      <c r="I76" s="6" t="str">
        <f t="shared" si="14"/>
        <v/>
      </c>
      <c r="J76" s="5">
        <f>0</f>
        <v>0</v>
      </c>
      <c r="K76" s="4"/>
      <c r="L76" s="5">
        <f t="shared" si="15"/>
        <v>0</v>
      </c>
      <c r="M76" s="6" t="str">
        <f t="shared" si="16"/>
        <v/>
      </c>
      <c r="N76" s="5">
        <f t="shared" si="17"/>
        <v>0</v>
      </c>
      <c r="O76" s="5">
        <f t="shared" si="18"/>
        <v>0</v>
      </c>
      <c r="P76" s="5">
        <f t="shared" si="19"/>
        <v>0</v>
      </c>
      <c r="Q76" s="6" t="str">
        <f t="shared" si="20"/>
        <v/>
      </c>
    </row>
    <row r="77" spans="1:17" x14ac:dyDescent="0.25">
      <c r="A77" s="3" t="s">
        <v>77</v>
      </c>
      <c r="B77" s="7">
        <f>(((B73)+(B74))+(B75))+(B76)</f>
        <v>204.31</v>
      </c>
      <c r="C77" s="7">
        <f>(((C73)+(C74))+(C75))+(C76)</f>
        <v>366.08</v>
      </c>
      <c r="D77" s="7">
        <f t="shared" si="11"/>
        <v>-161.76999999999998</v>
      </c>
      <c r="E77" s="8">
        <f t="shared" si="12"/>
        <v>0.55810205419580428</v>
      </c>
      <c r="F77" s="7">
        <f>(((F73)+(F74))+(F75))+(F76)</f>
        <v>231.59</v>
      </c>
      <c r="G77" s="7">
        <f>(((G73)+(G74))+(G75))+(G76)</f>
        <v>366.08</v>
      </c>
      <c r="H77" s="7">
        <f t="shared" si="13"/>
        <v>-134.48999999999998</v>
      </c>
      <c r="I77" s="8">
        <f t="shared" si="14"/>
        <v>0.632621284965035</v>
      </c>
      <c r="J77" s="7">
        <f>(((J73)+(J74))+(J75))+(J76)</f>
        <v>237.32999999999998</v>
      </c>
      <c r="K77" s="7">
        <f>(((K73)+(K74))+(K75))+(K76)</f>
        <v>366.08</v>
      </c>
      <c r="L77" s="7">
        <f t="shared" si="15"/>
        <v>-128.75</v>
      </c>
      <c r="M77" s="8">
        <f t="shared" si="16"/>
        <v>0.64830091783216781</v>
      </c>
      <c r="N77" s="7">
        <f t="shared" si="17"/>
        <v>673.23</v>
      </c>
      <c r="O77" s="7">
        <f t="shared" si="18"/>
        <v>1098.24</v>
      </c>
      <c r="P77" s="7">
        <f t="shared" si="19"/>
        <v>-425.01</v>
      </c>
      <c r="Q77" s="8">
        <f t="shared" si="20"/>
        <v>0.61300808566433562</v>
      </c>
    </row>
    <row r="78" spans="1:17" x14ac:dyDescent="0.25">
      <c r="A78" s="3" t="s">
        <v>78</v>
      </c>
      <c r="B78" s="4"/>
      <c r="C78" s="4"/>
      <c r="D78" s="5">
        <f t="shared" ref="D78:D109" si="21">(B78)-(C78)</f>
        <v>0</v>
      </c>
      <c r="E78" s="6" t="str">
        <f t="shared" ref="E78:E109" si="22">IF(C78=0,"",(B78)/(C78))</f>
        <v/>
      </c>
      <c r="F78" s="4"/>
      <c r="G78" s="4"/>
      <c r="H78" s="5">
        <f t="shared" ref="H78:H109" si="23">(F78)-(G78)</f>
        <v>0</v>
      </c>
      <c r="I78" s="6" t="str">
        <f t="shared" ref="I78:I109" si="24">IF(G78=0,"",(F78)/(G78))</f>
        <v/>
      </c>
      <c r="J78" s="4"/>
      <c r="K78" s="4"/>
      <c r="L78" s="5">
        <f t="shared" ref="L78:L109" si="25">(J78)-(K78)</f>
        <v>0</v>
      </c>
      <c r="M78" s="6" t="str">
        <f t="shared" ref="M78:M109" si="26">IF(K78=0,"",(J78)/(K78))</f>
        <v/>
      </c>
      <c r="N78" s="5">
        <f t="shared" ref="N78:N109" si="27">((B78)+(F78))+(J78)</f>
        <v>0</v>
      </c>
      <c r="O78" s="5">
        <f t="shared" ref="O78:O109" si="28">((C78)+(G78))+(K78)</f>
        <v>0</v>
      </c>
      <c r="P78" s="5">
        <f t="shared" ref="P78:P109" si="29">(N78)-(O78)</f>
        <v>0</v>
      </c>
      <c r="Q78" s="6" t="str">
        <f t="shared" ref="Q78:Q109" si="30">IF(O78=0,"",(N78)/(O78))</f>
        <v/>
      </c>
    </row>
    <row r="79" spans="1:17" x14ac:dyDescent="0.25">
      <c r="A79" s="3" t="s">
        <v>79</v>
      </c>
      <c r="B79" s="5">
        <f>80.43</f>
        <v>80.430000000000007</v>
      </c>
      <c r="C79" s="5">
        <f>53.95</f>
        <v>53.95</v>
      </c>
      <c r="D79" s="5">
        <f t="shared" si="21"/>
        <v>26.480000000000004</v>
      </c>
      <c r="E79" s="6">
        <f t="shared" si="22"/>
        <v>1.4908248378127897</v>
      </c>
      <c r="F79" s="5">
        <f>0</f>
        <v>0</v>
      </c>
      <c r="G79" s="5">
        <f>53.95</f>
        <v>53.95</v>
      </c>
      <c r="H79" s="5">
        <f t="shared" si="23"/>
        <v>-53.95</v>
      </c>
      <c r="I79" s="6">
        <f t="shared" si="24"/>
        <v>0</v>
      </c>
      <c r="J79" s="5">
        <f>0</f>
        <v>0</v>
      </c>
      <c r="K79" s="5">
        <f>53.95</f>
        <v>53.95</v>
      </c>
      <c r="L79" s="5">
        <f t="shared" si="25"/>
        <v>-53.95</v>
      </c>
      <c r="M79" s="6">
        <f t="shared" si="26"/>
        <v>0</v>
      </c>
      <c r="N79" s="5">
        <f t="shared" si="27"/>
        <v>80.430000000000007</v>
      </c>
      <c r="O79" s="5">
        <f t="shared" si="28"/>
        <v>161.85000000000002</v>
      </c>
      <c r="P79" s="5">
        <f t="shared" si="29"/>
        <v>-81.420000000000016</v>
      </c>
      <c r="Q79" s="6">
        <f t="shared" si="30"/>
        <v>0.49694161260426317</v>
      </c>
    </row>
    <row r="80" spans="1:17" x14ac:dyDescent="0.25">
      <c r="A80" s="3" t="s">
        <v>80</v>
      </c>
      <c r="B80" s="5">
        <f>43.31</f>
        <v>43.31</v>
      </c>
      <c r="C80" s="5">
        <f>29.05</f>
        <v>29.05</v>
      </c>
      <c r="D80" s="5">
        <f t="shared" si="21"/>
        <v>14.260000000000002</v>
      </c>
      <c r="E80" s="6">
        <f t="shared" si="22"/>
        <v>1.4908777969018934</v>
      </c>
      <c r="F80" s="5">
        <f>0</f>
        <v>0</v>
      </c>
      <c r="G80" s="5">
        <f>29.05</f>
        <v>29.05</v>
      </c>
      <c r="H80" s="5">
        <f t="shared" si="23"/>
        <v>-29.05</v>
      </c>
      <c r="I80" s="6">
        <f t="shared" si="24"/>
        <v>0</v>
      </c>
      <c r="J80" s="5">
        <f>0</f>
        <v>0</v>
      </c>
      <c r="K80" s="5">
        <f>29.05</f>
        <v>29.05</v>
      </c>
      <c r="L80" s="5">
        <f t="shared" si="25"/>
        <v>-29.05</v>
      </c>
      <c r="M80" s="6">
        <f t="shared" si="26"/>
        <v>0</v>
      </c>
      <c r="N80" s="5">
        <f t="shared" si="27"/>
        <v>43.31</v>
      </c>
      <c r="O80" s="5">
        <f t="shared" si="28"/>
        <v>87.15</v>
      </c>
      <c r="P80" s="5">
        <f t="shared" si="29"/>
        <v>-43.84</v>
      </c>
      <c r="Q80" s="6">
        <f t="shared" si="30"/>
        <v>0.49695926563396442</v>
      </c>
    </row>
    <row r="81" spans="1:17" x14ac:dyDescent="0.25">
      <c r="A81" s="3" t="s">
        <v>81</v>
      </c>
      <c r="B81" s="5">
        <f>0</f>
        <v>0</v>
      </c>
      <c r="C81" s="4"/>
      <c r="D81" s="5">
        <f t="shared" si="21"/>
        <v>0</v>
      </c>
      <c r="E81" s="6" t="str">
        <f t="shared" si="22"/>
        <v/>
      </c>
      <c r="F81" s="5">
        <f>0</f>
        <v>0</v>
      </c>
      <c r="G81" s="4"/>
      <c r="H81" s="5">
        <f t="shared" si="23"/>
        <v>0</v>
      </c>
      <c r="I81" s="6" t="str">
        <f t="shared" si="24"/>
        <v/>
      </c>
      <c r="J81" s="5">
        <f>0</f>
        <v>0</v>
      </c>
      <c r="K81" s="4"/>
      <c r="L81" s="5">
        <f t="shared" si="25"/>
        <v>0</v>
      </c>
      <c r="M81" s="6" t="str">
        <f t="shared" si="26"/>
        <v/>
      </c>
      <c r="N81" s="5">
        <f t="shared" si="27"/>
        <v>0</v>
      </c>
      <c r="O81" s="5">
        <f t="shared" si="28"/>
        <v>0</v>
      </c>
      <c r="P81" s="5">
        <f t="shared" si="29"/>
        <v>0</v>
      </c>
      <c r="Q81" s="6" t="str">
        <f t="shared" si="30"/>
        <v/>
      </c>
    </row>
    <row r="82" spans="1:17" x14ac:dyDescent="0.25">
      <c r="A82" s="3" t="s">
        <v>82</v>
      </c>
      <c r="B82" s="7">
        <f>(((B78)+(B79))+(B80))+(B81)</f>
        <v>123.74000000000001</v>
      </c>
      <c r="C82" s="7">
        <f>(((C78)+(C79))+(C80))+(C81)</f>
        <v>83</v>
      </c>
      <c r="D82" s="7">
        <f t="shared" si="21"/>
        <v>40.740000000000009</v>
      </c>
      <c r="E82" s="8">
        <f t="shared" si="22"/>
        <v>1.4908433734939761</v>
      </c>
      <c r="F82" s="7">
        <f>(((F78)+(F79))+(F80))+(F81)</f>
        <v>0</v>
      </c>
      <c r="G82" s="7">
        <f>(((G78)+(G79))+(G80))+(G81)</f>
        <v>83</v>
      </c>
      <c r="H82" s="7">
        <f t="shared" si="23"/>
        <v>-83</v>
      </c>
      <c r="I82" s="8">
        <f t="shared" si="24"/>
        <v>0</v>
      </c>
      <c r="J82" s="7">
        <f>(((J78)+(J79))+(J80))+(J81)</f>
        <v>0</v>
      </c>
      <c r="K82" s="7">
        <f>(((K78)+(K79))+(K80))+(K81)</f>
        <v>83</v>
      </c>
      <c r="L82" s="7">
        <f t="shared" si="25"/>
        <v>-83</v>
      </c>
      <c r="M82" s="8">
        <f t="shared" si="26"/>
        <v>0</v>
      </c>
      <c r="N82" s="7">
        <f t="shared" si="27"/>
        <v>123.74000000000001</v>
      </c>
      <c r="O82" s="7">
        <f t="shared" si="28"/>
        <v>249</v>
      </c>
      <c r="P82" s="7">
        <f t="shared" si="29"/>
        <v>-125.25999999999999</v>
      </c>
      <c r="Q82" s="8">
        <f t="shared" si="30"/>
        <v>0.49694779116465865</v>
      </c>
    </row>
    <row r="83" spans="1:17" x14ac:dyDescent="0.25">
      <c r="A83" s="3" t="s">
        <v>83</v>
      </c>
      <c r="B83" s="4"/>
      <c r="C83" s="4"/>
      <c r="D83" s="5">
        <f t="shared" si="21"/>
        <v>0</v>
      </c>
      <c r="E83" s="6" t="str">
        <f t="shared" si="22"/>
        <v/>
      </c>
      <c r="F83" s="4"/>
      <c r="G83" s="4"/>
      <c r="H83" s="5">
        <f t="shared" si="23"/>
        <v>0</v>
      </c>
      <c r="I83" s="6" t="str">
        <f t="shared" si="24"/>
        <v/>
      </c>
      <c r="J83" s="4"/>
      <c r="K83" s="4"/>
      <c r="L83" s="5">
        <f t="shared" si="25"/>
        <v>0</v>
      </c>
      <c r="M83" s="6" t="str">
        <f t="shared" si="26"/>
        <v/>
      </c>
      <c r="N83" s="5">
        <f t="shared" si="27"/>
        <v>0</v>
      </c>
      <c r="O83" s="5">
        <f t="shared" si="28"/>
        <v>0</v>
      </c>
      <c r="P83" s="5">
        <f t="shared" si="29"/>
        <v>0</v>
      </c>
      <c r="Q83" s="6" t="str">
        <f t="shared" si="30"/>
        <v/>
      </c>
    </row>
    <row r="84" spans="1:17" x14ac:dyDescent="0.25">
      <c r="A84" s="3" t="s">
        <v>84</v>
      </c>
      <c r="B84" s="4"/>
      <c r="C84" s="5">
        <f>80.6</f>
        <v>80.599999999999994</v>
      </c>
      <c r="D84" s="5">
        <f t="shared" si="21"/>
        <v>-80.599999999999994</v>
      </c>
      <c r="E84" s="6">
        <f t="shared" si="22"/>
        <v>0</v>
      </c>
      <c r="F84" s="4"/>
      <c r="G84" s="5">
        <f>80.6</f>
        <v>80.599999999999994</v>
      </c>
      <c r="H84" s="5">
        <f t="shared" si="23"/>
        <v>-80.599999999999994</v>
      </c>
      <c r="I84" s="6">
        <f t="shared" si="24"/>
        <v>0</v>
      </c>
      <c r="J84" s="4"/>
      <c r="K84" s="5">
        <f>80.6</f>
        <v>80.599999999999994</v>
      </c>
      <c r="L84" s="5">
        <f t="shared" si="25"/>
        <v>-80.599999999999994</v>
      </c>
      <c r="M84" s="6">
        <f t="shared" si="26"/>
        <v>0</v>
      </c>
      <c r="N84" s="5">
        <f t="shared" si="27"/>
        <v>0</v>
      </c>
      <c r="O84" s="5">
        <f t="shared" si="28"/>
        <v>241.79999999999998</v>
      </c>
      <c r="P84" s="5">
        <f t="shared" si="29"/>
        <v>-241.79999999999998</v>
      </c>
      <c r="Q84" s="6">
        <f t="shared" si="30"/>
        <v>0</v>
      </c>
    </row>
    <row r="85" spans="1:17" x14ac:dyDescent="0.25">
      <c r="A85" s="3" t="s">
        <v>85</v>
      </c>
      <c r="B85" s="4"/>
      <c r="C85" s="5">
        <f>43.4</f>
        <v>43.4</v>
      </c>
      <c r="D85" s="5">
        <f t="shared" si="21"/>
        <v>-43.4</v>
      </c>
      <c r="E85" s="6">
        <f t="shared" si="22"/>
        <v>0</v>
      </c>
      <c r="F85" s="4"/>
      <c r="G85" s="5">
        <f>43.4</f>
        <v>43.4</v>
      </c>
      <c r="H85" s="5">
        <f t="shared" si="23"/>
        <v>-43.4</v>
      </c>
      <c r="I85" s="6">
        <f t="shared" si="24"/>
        <v>0</v>
      </c>
      <c r="J85" s="4"/>
      <c r="K85" s="5">
        <f>43.4</f>
        <v>43.4</v>
      </c>
      <c r="L85" s="5">
        <f t="shared" si="25"/>
        <v>-43.4</v>
      </c>
      <c r="M85" s="6">
        <f t="shared" si="26"/>
        <v>0</v>
      </c>
      <c r="N85" s="5">
        <f t="shared" si="27"/>
        <v>0</v>
      </c>
      <c r="O85" s="5">
        <f t="shared" si="28"/>
        <v>130.19999999999999</v>
      </c>
      <c r="P85" s="5">
        <f t="shared" si="29"/>
        <v>-130.19999999999999</v>
      </c>
      <c r="Q85" s="6">
        <f t="shared" si="30"/>
        <v>0</v>
      </c>
    </row>
    <row r="86" spans="1:17" x14ac:dyDescent="0.25">
      <c r="A86" s="3" t="s">
        <v>86</v>
      </c>
      <c r="B86" s="7">
        <f>((B83)+(B84))+(B85)</f>
        <v>0</v>
      </c>
      <c r="C86" s="7">
        <f>((C83)+(C84))+(C85)</f>
        <v>124</v>
      </c>
      <c r="D86" s="7">
        <f t="shared" si="21"/>
        <v>-124</v>
      </c>
      <c r="E86" s="8">
        <f t="shared" si="22"/>
        <v>0</v>
      </c>
      <c r="F86" s="7">
        <f>((F83)+(F84))+(F85)</f>
        <v>0</v>
      </c>
      <c r="G86" s="7">
        <f>((G83)+(G84))+(G85)</f>
        <v>124</v>
      </c>
      <c r="H86" s="7">
        <f t="shared" si="23"/>
        <v>-124</v>
      </c>
      <c r="I86" s="8">
        <f t="shared" si="24"/>
        <v>0</v>
      </c>
      <c r="J86" s="7">
        <f>((J83)+(J84))+(J85)</f>
        <v>0</v>
      </c>
      <c r="K86" s="7">
        <f>((K83)+(K84))+(K85)</f>
        <v>124</v>
      </c>
      <c r="L86" s="7">
        <f t="shared" si="25"/>
        <v>-124</v>
      </c>
      <c r="M86" s="8">
        <f t="shared" si="26"/>
        <v>0</v>
      </c>
      <c r="N86" s="7">
        <f t="shared" si="27"/>
        <v>0</v>
      </c>
      <c r="O86" s="7">
        <f t="shared" si="28"/>
        <v>372</v>
      </c>
      <c r="P86" s="7">
        <f t="shared" si="29"/>
        <v>-372</v>
      </c>
      <c r="Q86" s="8">
        <f t="shared" si="30"/>
        <v>0</v>
      </c>
    </row>
    <row r="87" spans="1:17" x14ac:dyDescent="0.25">
      <c r="A87" s="3" t="s">
        <v>87</v>
      </c>
      <c r="B87" s="4"/>
      <c r="C87" s="4"/>
      <c r="D87" s="5">
        <f t="shared" si="21"/>
        <v>0</v>
      </c>
      <c r="E87" s="6" t="str">
        <f t="shared" si="22"/>
        <v/>
      </c>
      <c r="F87" s="4"/>
      <c r="G87" s="4"/>
      <c r="H87" s="5">
        <f t="shared" si="23"/>
        <v>0</v>
      </c>
      <c r="I87" s="6" t="str">
        <f t="shared" si="24"/>
        <v/>
      </c>
      <c r="J87" s="4"/>
      <c r="K87" s="4"/>
      <c r="L87" s="5">
        <f t="shared" si="25"/>
        <v>0</v>
      </c>
      <c r="M87" s="6" t="str">
        <f t="shared" si="26"/>
        <v/>
      </c>
      <c r="N87" s="5">
        <f t="shared" si="27"/>
        <v>0</v>
      </c>
      <c r="O87" s="5">
        <f t="shared" si="28"/>
        <v>0</v>
      </c>
      <c r="P87" s="5">
        <f t="shared" si="29"/>
        <v>0</v>
      </c>
      <c r="Q87" s="6" t="str">
        <f t="shared" si="30"/>
        <v/>
      </c>
    </row>
    <row r="88" spans="1:17" x14ac:dyDescent="0.25">
      <c r="A88" s="3" t="s">
        <v>88</v>
      </c>
      <c r="B88" s="5">
        <f>938.5</f>
        <v>938.5</v>
      </c>
      <c r="C88" s="5">
        <f>920.83</f>
        <v>920.83</v>
      </c>
      <c r="D88" s="5">
        <f t="shared" si="21"/>
        <v>17.669999999999959</v>
      </c>
      <c r="E88" s="6">
        <f t="shared" si="22"/>
        <v>1.0191892097346957</v>
      </c>
      <c r="F88" s="5">
        <f>908.22</f>
        <v>908.22</v>
      </c>
      <c r="G88" s="5">
        <f>920.83</f>
        <v>920.83</v>
      </c>
      <c r="H88" s="5">
        <f t="shared" si="23"/>
        <v>-12.610000000000014</v>
      </c>
      <c r="I88" s="6">
        <f t="shared" si="24"/>
        <v>0.98630583278129513</v>
      </c>
      <c r="J88" s="5">
        <f>938.5</f>
        <v>938.5</v>
      </c>
      <c r="K88" s="5">
        <f>920.83</f>
        <v>920.83</v>
      </c>
      <c r="L88" s="5">
        <f t="shared" si="25"/>
        <v>17.669999999999959</v>
      </c>
      <c r="M88" s="6">
        <f t="shared" si="26"/>
        <v>1.0191892097346957</v>
      </c>
      <c r="N88" s="5">
        <f t="shared" si="27"/>
        <v>2785.2200000000003</v>
      </c>
      <c r="O88" s="5">
        <f t="shared" si="28"/>
        <v>2762.4900000000002</v>
      </c>
      <c r="P88" s="5">
        <f t="shared" si="29"/>
        <v>22.730000000000018</v>
      </c>
      <c r="Q88" s="6">
        <f t="shared" si="30"/>
        <v>1.0082280840835622</v>
      </c>
    </row>
    <row r="89" spans="1:17" x14ac:dyDescent="0.25">
      <c r="A89" s="3" t="s">
        <v>89</v>
      </c>
      <c r="B89" s="5">
        <f>505.34</f>
        <v>505.34</v>
      </c>
      <c r="C89" s="5">
        <f>495.83</f>
        <v>495.83</v>
      </c>
      <c r="D89" s="5">
        <f t="shared" si="21"/>
        <v>9.5099999999999909</v>
      </c>
      <c r="E89" s="6">
        <f t="shared" si="22"/>
        <v>1.0191799608736865</v>
      </c>
      <c r="F89" s="5">
        <f>489.04</f>
        <v>489.04</v>
      </c>
      <c r="G89" s="5">
        <f>495.83</f>
        <v>495.83</v>
      </c>
      <c r="H89" s="5">
        <f t="shared" si="23"/>
        <v>-6.7899999999999636</v>
      </c>
      <c r="I89" s="6">
        <f t="shared" si="24"/>
        <v>0.98630579029102727</v>
      </c>
      <c r="J89" s="5">
        <f>505.34</f>
        <v>505.34</v>
      </c>
      <c r="K89" s="5">
        <f>495.83</f>
        <v>495.83</v>
      </c>
      <c r="L89" s="5">
        <f t="shared" si="25"/>
        <v>9.5099999999999909</v>
      </c>
      <c r="M89" s="6">
        <f t="shared" si="26"/>
        <v>1.0191799608736865</v>
      </c>
      <c r="N89" s="5">
        <f t="shared" si="27"/>
        <v>1499.72</v>
      </c>
      <c r="O89" s="5">
        <f t="shared" si="28"/>
        <v>1487.49</v>
      </c>
      <c r="P89" s="5">
        <f t="shared" si="29"/>
        <v>12.230000000000018</v>
      </c>
      <c r="Q89" s="6">
        <f t="shared" si="30"/>
        <v>1.0082219040128002</v>
      </c>
    </row>
    <row r="90" spans="1:17" x14ac:dyDescent="0.25">
      <c r="A90" s="3" t="s">
        <v>90</v>
      </c>
      <c r="B90" s="5">
        <f>0</f>
        <v>0</v>
      </c>
      <c r="C90" s="4"/>
      <c r="D90" s="5">
        <f t="shared" si="21"/>
        <v>0</v>
      </c>
      <c r="E90" s="6" t="str">
        <f t="shared" si="22"/>
        <v/>
      </c>
      <c r="F90" s="5">
        <f>0</f>
        <v>0</v>
      </c>
      <c r="G90" s="4"/>
      <c r="H90" s="5">
        <f t="shared" si="23"/>
        <v>0</v>
      </c>
      <c r="I90" s="6" t="str">
        <f t="shared" si="24"/>
        <v/>
      </c>
      <c r="J90" s="5">
        <f>0</f>
        <v>0</v>
      </c>
      <c r="K90" s="4"/>
      <c r="L90" s="5">
        <f t="shared" si="25"/>
        <v>0</v>
      </c>
      <c r="M90" s="6" t="str">
        <f t="shared" si="26"/>
        <v/>
      </c>
      <c r="N90" s="5">
        <f t="shared" si="27"/>
        <v>0</v>
      </c>
      <c r="O90" s="5">
        <f t="shared" si="28"/>
        <v>0</v>
      </c>
      <c r="P90" s="5">
        <f t="shared" si="29"/>
        <v>0</v>
      </c>
      <c r="Q90" s="6" t="str">
        <f t="shared" si="30"/>
        <v/>
      </c>
    </row>
    <row r="91" spans="1:17" x14ac:dyDescent="0.25">
      <c r="A91" s="3" t="s">
        <v>91</v>
      </c>
      <c r="B91" s="7">
        <f>(((B87)+(B88))+(B89))+(B90)</f>
        <v>1443.84</v>
      </c>
      <c r="C91" s="7">
        <f>(((C87)+(C88))+(C89))+(C90)</f>
        <v>1416.66</v>
      </c>
      <c r="D91" s="7">
        <f t="shared" si="21"/>
        <v>27.179999999999836</v>
      </c>
      <c r="E91" s="8">
        <f t="shared" si="22"/>
        <v>1.0191859726398711</v>
      </c>
      <c r="F91" s="7">
        <f>(((F87)+(F88))+(F89))+(F90)</f>
        <v>1397.26</v>
      </c>
      <c r="G91" s="7">
        <f>(((G87)+(G88))+(G89))+(G90)</f>
        <v>1416.66</v>
      </c>
      <c r="H91" s="7">
        <f t="shared" si="23"/>
        <v>-19.400000000000091</v>
      </c>
      <c r="I91" s="8">
        <f t="shared" si="24"/>
        <v>0.98630581790973126</v>
      </c>
      <c r="J91" s="7">
        <f>(((J87)+(J88))+(J89))+(J90)</f>
        <v>1443.84</v>
      </c>
      <c r="K91" s="7">
        <f>(((K87)+(K88))+(K89))+(K90)</f>
        <v>1416.66</v>
      </c>
      <c r="L91" s="7">
        <f t="shared" si="25"/>
        <v>27.179999999999836</v>
      </c>
      <c r="M91" s="8">
        <f t="shared" si="26"/>
        <v>1.0191859726398711</v>
      </c>
      <c r="N91" s="7">
        <f t="shared" si="27"/>
        <v>4284.9399999999996</v>
      </c>
      <c r="O91" s="7">
        <f t="shared" si="28"/>
        <v>4249.9800000000005</v>
      </c>
      <c r="P91" s="7">
        <f t="shared" si="29"/>
        <v>34.959999999999127</v>
      </c>
      <c r="Q91" s="8">
        <f t="shared" si="30"/>
        <v>1.0082259210631577</v>
      </c>
    </row>
    <row r="92" spans="1:17" x14ac:dyDescent="0.25">
      <c r="A92" s="3" t="s">
        <v>92</v>
      </c>
      <c r="B92" s="4"/>
      <c r="C92" s="4"/>
      <c r="D92" s="5">
        <f t="shared" si="21"/>
        <v>0</v>
      </c>
      <c r="E92" s="6" t="str">
        <f t="shared" si="22"/>
        <v/>
      </c>
      <c r="F92" s="4"/>
      <c r="G92" s="4"/>
      <c r="H92" s="5">
        <f t="shared" si="23"/>
        <v>0</v>
      </c>
      <c r="I92" s="6" t="str">
        <f t="shared" si="24"/>
        <v/>
      </c>
      <c r="J92" s="4"/>
      <c r="K92" s="4"/>
      <c r="L92" s="5">
        <f t="shared" si="25"/>
        <v>0</v>
      </c>
      <c r="M92" s="6" t="str">
        <f t="shared" si="26"/>
        <v/>
      </c>
      <c r="N92" s="5">
        <f t="shared" si="27"/>
        <v>0</v>
      </c>
      <c r="O92" s="5">
        <f t="shared" si="28"/>
        <v>0</v>
      </c>
      <c r="P92" s="5">
        <f t="shared" si="29"/>
        <v>0</v>
      </c>
      <c r="Q92" s="6" t="str">
        <f t="shared" si="30"/>
        <v/>
      </c>
    </row>
    <row r="93" spans="1:17" x14ac:dyDescent="0.25">
      <c r="A93" s="3" t="s">
        <v>93</v>
      </c>
      <c r="B93" s="5">
        <f>613.44</f>
        <v>613.44000000000005</v>
      </c>
      <c r="C93" s="5">
        <f>325</f>
        <v>325</v>
      </c>
      <c r="D93" s="5">
        <f t="shared" si="21"/>
        <v>288.44000000000005</v>
      </c>
      <c r="E93" s="6">
        <f t="shared" si="22"/>
        <v>1.8875076923076926</v>
      </c>
      <c r="F93" s="5">
        <f>247</f>
        <v>247</v>
      </c>
      <c r="G93" s="5">
        <f>325</f>
        <v>325</v>
      </c>
      <c r="H93" s="5">
        <f t="shared" si="23"/>
        <v>-78</v>
      </c>
      <c r="I93" s="6">
        <f t="shared" si="24"/>
        <v>0.76</v>
      </c>
      <c r="J93" s="5">
        <f>97.5</f>
        <v>97.5</v>
      </c>
      <c r="K93" s="5">
        <f>325</f>
        <v>325</v>
      </c>
      <c r="L93" s="5">
        <f t="shared" si="25"/>
        <v>-227.5</v>
      </c>
      <c r="M93" s="6">
        <f t="shared" si="26"/>
        <v>0.3</v>
      </c>
      <c r="N93" s="5">
        <f t="shared" si="27"/>
        <v>957.94</v>
      </c>
      <c r="O93" s="5">
        <f t="shared" si="28"/>
        <v>975</v>
      </c>
      <c r="P93" s="5">
        <f t="shared" si="29"/>
        <v>-17.059999999999945</v>
      </c>
      <c r="Q93" s="6">
        <f t="shared" si="30"/>
        <v>0.9825025641025642</v>
      </c>
    </row>
    <row r="94" spans="1:17" x14ac:dyDescent="0.25">
      <c r="A94" s="3" t="s">
        <v>94</v>
      </c>
      <c r="B94" s="5">
        <f>330.31</f>
        <v>330.31</v>
      </c>
      <c r="C94" s="5">
        <f>175</f>
        <v>175</v>
      </c>
      <c r="D94" s="5">
        <f t="shared" si="21"/>
        <v>155.31</v>
      </c>
      <c r="E94" s="6">
        <f t="shared" si="22"/>
        <v>1.8874857142857142</v>
      </c>
      <c r="F94" s="5">
        <f>133</f>
        <v>133</v>
      </c>
      <c r="G94" s="5">
        <f>175</f>
        <v>175</v>
      </c>
      <c r="H94" s="5">
        <f t="shared" si="23"/>
        <v>-42</v>
      </c>
      <c r="I94" s="6">
        <f t="shared" si="24"/>
        <v>0.76</v>
      </c>
      <c r="J94" s="5">
        <f>52.5</f>
        <v>52.5</v>
      </c>
      <c r="K94" s="5">
        <f>175</f>
        <v>175</v>
      </c>
      <c r="L94" s="5">
        <f t="shared" si="25"/>
        <v>-122.5</v>
      </c>
      <c r="M94" s="6">
        <f t="shared" si="26"/>
        <v>0.3</v>
      </c>
      <c r="N94" s="5">
        <f t="shared" si="27"/>
        <v>515.80999999999995</v>
      </c>
      <c r="O94" s="5">
        <f t="shared" si="28"/>
        <v>525</v>
      </c>
      <c r="P94" s="5">
        <f t="shared" si="29"/>
        <v>-9.1900000000000546</v>
      </c>
      <c r="Q94" s="6">
        <f t="shared" si="30"/>
        <v>0.98249523809523798</v>
      </c>
    </row>
    <row r="95" spans="1:17" x14ac:dyDescent="0.25">
      <c r="A95" s="3" t="s">
        <v>95</v>
      </c>
      <c r="B95" s="5">
        <f>0</f>
        <v>0</v>
      </c>
      <c r="C95" s="4"/>
      <c r="D95" s="5">
        <f t="shared" si="21"/>
        <v>0</v>
      </c>
      <c r="E95" s="6" t="str">
        <f t="shared" si="22"/>
        <v/>
      </c>
      <c r="F95" s="5">
        <f>0</f>
        <v>0</v>
      </c>
      <c r="G95" s="4"/>
      <c r="H95" s="5">
        <f t="shared" si="23"/>
        <v>0</v>
      </c>
      <c r="I95" s="6" t="str">
        <f t="shared" si="24"/>
        <v/>
      </c>
      <c r="J95" s="5">
        <f>0</f>
        <v>0</v>
      </c>
      <c r="K95" s="4"/>
      <c r="L95" s="5">
        <f t="shared" si="25"/>
        <v>0</v>
      </c>
      <c r="M95" s="6" t="str">
        <f t="shared" si="26"/>
        <v/>
      </c>
      <c r="N95" s="5">
        <f t="shared" si="27"/>
        <v>0</v>
      </c>
      <c r="O95" s="5">
        <f t="shared" si="28"/>
        <v>0</v>
      </c>
      <c r="P95" s="5">
        <f t="shared" si="29"/>
        <v>0</v>
      </c>
      <c r="Q95" s="6" t="str">
        <f t="shared" si="30"/>
        <v/>
      </c>
    </row>
    <row r="96" spans="1:17" x14ac:dyDescent="0.25">
      <c r="A96" s="3" t="s">
        <v>96</v>
      </c>
      <c r="B96" s="7">
        <f>(((B92)+(B93))+(B94))+(B95)</f>
        <v>943.75</v>
      </c>
      <c r="C96" s="7">
        <f>(((C92)+(C93))+(C94))+(C95)</f>
        <v>500</v>
      </c>
      <c r="D96" s="7">
        <f t="shared" si="21"/>
        <v>443.75</v>
      </c>
      <c r="E96" s="8">
        <f t="shared" si="22"/>
        <v>1.8875</v>
      </c>
      <c r="F96" s="7">
        <f>(((F92)+(F93))+(F94))+(F95)</f>
        <v>380</v>
      </c>
      <c r="G96" s="7">
        <f>(((G92)+(G93))+(G94))+(G95)</f>
        <v>500</v>
      </c>
      <c r="H96" s="7">
        <f t="shared" si="23"/>
        <v>-120</v>
      </c>
      <c r="I96" s="8">
        <f t="shared" si="24"/>
        <v>0.76</v>
      </c>
      <c r="J96" s="7">
        <f>(((J92)+(J93))+(J94))+(J95)</f>
        <v>150</v>
      </c>
      <c r="K96" s="7">
        <f>(((K92)+(K93))+(K94))+(K95)</f>
        <v>500</v>
      </c>
      <c r="L96" s="7">
        <f t="shared" si="25"/>
        <v>-350</v>
      </c>
      <c r="M96" s="8">
        <f t="shared" si="26"/>
        <v>0.3</v>
      </c>
      <c r="N96" s="7">
        <f t="shared" si="27"/>
        <v>1473.75</v>
      </c>
      <c r="O96" s="7">
        <f t="shared" si="28"/>
        <v>1500</v>
      </c>
      <c r="P96" s="7">
        <f t="shared" si="29"/>
        <v>-26.25</v>
      </c>
      <c r="Q96" s="8">
        <f t="shared" si="30"/>
        <v>0.98250000000000004</v>
      </c>
    </row>
    <row r="97" spans="1:17" x14ac:dyDescent="0.25">
      <c r="A97" s="3" t="s">
        <v>97</v>
      </c>
      <c r="B97" s="4"/>
      <c r="C97" s="4"/>
      <c r="D97" s="5">
        <f t="shared" si="21"/>
        <v>0</v>
      </c>
      <c r="E97" s="6" t="str">
        <f t="shared" si="22"/>
        <v/>
      </c>
      <c r="F97" s="4"/>
      <c r="G97" s="4"/>
      <c r="H97" s="5">
        <f t="shared" si="23"/>
        <v>0</v>
      </c>
      <c r="I97" s="6" t="str">
        <f t="shared" si="24"/>
        <v/>
      </c>
      <c r="J97" s="4"/>
      <c r="K97" s="4"/>
      <c r="L97" s="5">
        <f t="shared" si="25"/>
        <v>0</v>
      </c>
      <c r="M97" s="6" t="str">
        <f t="shared" si="26"/>
        <v/>
      </c>
      <c r="N97" s="5">
        <f t="shared" si="27"/>
        <v>0</v>
      </c>
      <c r="O97" s="5">
        <f t="shared" si="28"/>
        <v>0</v>
      </c>
      <c r="P97" s="5">
        <f t="shared" si="29"/>
        <v>0</v>
      </c>
      <c r="Q97" s="6" t="str">
        <f t="shared" si="30"/>
        <v/>
      </c>
    </row>
    <row r="98" spans="1:17" x14ac:dyDescent="0.25">
      <c r="A98" s="3" t="s">
        <v>98</v>
      </c>
      <c r="B98" s="5">
        <f>65</f>
        <v>65</v>
      </c>
      <c r="C98" s="5">
        <f>1041.63</f>
        <v>1041.6300000000001</v>
      </c>
      <c r="D98" s="5">
        <f t="shared" si="21"/>
        <v>-976.63000000000011</v>
      </c>
      <c r="E98" s="6">
        <f t="shared" si="22"/>
        <v>6.2402196557318809E-2</v>
      </c>
      <c r="F98" s="5">
        <f>0</f>
        <v>0</v>
      </c>
      <c r="G98" s="5">
        <f>1041.63</f>
        <v>1041.6300000000001</v>
      </c>
      <c r="H98" s="5">
        <f t="shared" si="23"/>
        <v>-1041.6300000000001</v>
      </c>
      <c r="I98" s="6">
        <f t="shared" si="24"/>
        <v>0</v>
      </c>
      <c r="J98" s="5">
        <f>0</f>
        <v>0</v>
      </c>
      <c r="K98" s="5">
        <f>1041.63</f>
        <v>1041.6300000000001</v>
      </c>
      <c r="L98" s="5">
        <f t="shared" si="25"/>
        <v>-1041.6300000000001</v>
      </c>
      <c r="M98" s="6">
        <f t="shared" si="26"/>
        <v>0</v>
      </c>
      <c r="N98" s="5">
        <f t="shared" si="27"/>
        <v>65</v>
      </c>
      <c r="O98" s="5">
        <f t="shared" si="28"/>
        <v>3124.8900000000003</v>
      </c>
      <c r="P98" s="5">
        <f t="shared" si="29"/>
        <v>-3059.8900000000003</v>
      </c>
      <c r="Q98" s="6">
        <f t="shared" si="30"/>
        <v>2.0800732185772938E-2</v>
      </c>
    </row>
    <row r="99" spans="1:17" x14ac:dyDescent="0.25">
      <c r="A99" s="3" t="s">
        <v>99</v>
      </c>
      <c r="B99" s="5">
        <f>35</f>
        <v>35</v>
      </c>
      <c r="C99" s="5">
        <f>560.88</f>
        <v>560.88</v>
      </c>
      <c r="D99" s="5">
        <f t="shared" si="21"/>
        <v>-525.88</v>
      </c>
      <c r="E99" s="6">
        <f t="shared" si="22"/>
        <v>6.2401939808871772E-2</v>
      </c>
      <c r="F99" s="5">
        <f>0</f>
        <v>0</v>
      </c>
      <c r="G99" s="5">
        <f>560.88</f>
        <v>560.88</v>
      </c>
      <c r="H99" s="5">
        <f t="shared" si="23"/>
        <v>-560.88</v>
      </c>
      <c r="I99" s="6">
        <f t="shared" si="24"/>
        <v>0</v>
      </c>
      <c r="J99" s="5">
        <f>0</f>
        <v>0</v>
      </c>
      <c r="K99" s="5">
        <f>560.88</f>
        <v>560.88</v>
      </c>
      <c r="L99" s="5">
        <f t="shared" si="25"/>
        <v>-560.88</v>
      </c>
      <c r="M99" s="6">
        <f t="shared" si="26"/>
        <v>0</v>
      </c>
      <c r="N99" s="5">
        <f t="shared" si="27"/>
        <v>35</v>
      </c>
      <c r="O99" s="5">
        <f t="shared" si="28"/>
        <v>1682.6399999999999</v>
      </c>
      <c r="P99" s="5">
        <f t="shared" si="29"/>
        <v>-1647.6399999999999</v>
      </c>
      <c r="Q99" s="6">
        <f t="shared" si="30"/>
        <v>2.080064660295726E-2</v>
      </c>
    </row>
    <row r="100" spans="1:17" x14ac:dyDescent="0.25">
      <c r="A100" s="3" t="s">
        <v>100</v>
      </c>
      <c r="B100" s="5">
        <f>0</f>
        <v>0</v>
      </c>
      <c r="C100" s="4"/>
      <c r="D100" s="5">
        <f t="shared" si="21"/>
        <v>0</v>
      </c>
      <c r="E100" s="6" t="str">
        <f t="shared" si="22"/>
        <v/>
      </c>
      <c r="F100" s="5">
        <f>0</f>
        <v>0</v>
      </c>
      <c r="G100" s="4"/>
      <c r="H100" s="5">
        <f t="shared" si="23"/>
        <v>0</v>
      </c>
      <c r="I100" s="6" t="str">
        <f t="shared" si="24"/>
        <v/>
      </c>
      <c r="J100" s="5">
        <f>0</f>
        <v>0</v>
      </c>
      <c r="K100" s="4"/>
      <c r="L100" s="5">
        <f t="shared" si="25"/>
        <v>0</v>
      </c>
      <c r="M100" s="6" t="str">
        <f t="shared" si="26"/>
        <v/>
      </c>
      <c r="N100" s="5">
        <f t="shared" si="27"/>
        <v>0</v>
      </c>
      <c r="O100" s="5">
        <f t="shared" si="28"/>
        <v>0</v>
      </c>
      <c r="P100" s="5">
        <f t="shared" si="29"/>
        <v>0</v>
      </c>
      <c r="Q100" s="6" t="str">
        <f t="shared" si="30"/>
        <v/>
      </c>
    </row>
    <row r="101" spans="1:17" x14ac:dyDescent="0.25">
      <c r="A101" s="3" t="s">
        <v>101</v>
      </c>
      <c r="B101" s="7">
        <f>(((B97)+(B98))+(B99))+(B100)</f>
        <v>100</v>
      </c>
      <c r="C101" s="7">
        <f>(((C97)+(C98))+(C99))+(C100)</f>
        <v>1602.5100000000002</v>
      </c>
      <c r="D101" s="7">
        <f t="shared" si="21"/>
        <v>-1502.5100000000002</v>
      </c>
      <c r="E101" s="8">
        <f t="shared" si="22"/>
        <v>6.2402106695122021E-2</v>
      </c>
      <c r="F101" s="7">
        <f>(((F97)+(F98))+(F99))+(F100)</f>
        <v>0</v>
      </c>
      <c r="G101" s="7">
        <f>(((G97)+(G98))+(G99))+(G100)</f>
        <v>1602.5100000000002</v>
      </c>
      <c r="H101" s="7">
        <f t="shared" si="23"/>
        <v>-1602.5100000000002</v>
      </c>
      <c r="I101" s="8">
        <f t="shared" si="24"/>
        <v>0</v>
      </c>
      <c r="J101" s="7">
        <f>(((J97)+(J98))+(J99))+(J100)</f>
        <v>0</v>
      </c>
      <c r="K101" s="7">
        <f>(((K97)+(K98))+(K99))+(K100)</f>
        <v>1602.5100000000002</v>
      </c>
      <c r="L101" s="7">
        <f t="shared" si="25"/>
        <v>-1602.5100000000002</v>
      </c>
      <c r="M101" s="8">
        <f t="shared" si="26"/>
        <v>0</v>
      </c>
      <c r="N101" s="7">
        <f t="shared" si="27"/>
        <v>100</v>
      </c>
      <c r="O101" s="7">
        <f t="shared" si="28"/>
        <v>4807.5300000000007</v>
      </c>
      <c r="P101" s="7">
        <f t="shared" si="29"/>
        <v>-4707.5300000000007</v>
      </c>
      <c r="Q101" s="8">
        <f t="shared" si="30"/>
        <v>2.0800702231707338E-2</v>
      </c>
    </row>
    <row r="102" spans="1:17" x14ac:dyDescent="0.25">
      <c r="A102" s="3" t="s">
        <v>102</v>
      </c>
      <c r="B102" s="4"/>
      <c r="C102" s="4"/>
      <c r="D102" s="5">
        <f t="shared" si="21"/>
        <v>0</v>
      </c>
      <c r="E102" s="6" t="str">
        <f t="shared" si="22"/>
        <v/>
      </c>
      <c r="F102" s="4"/>
      <c r="G102" s="4"/>
      <c r="H102" s="5">
        <f t="shared" si="23"/>
        <v>0</v>
      </c>
      <c r="I102" s="6" t="str">
        <f t="shared" si="24"/>
        <v/>
      </c>
      <c r="J102" s="4"/>
      <c r="K102" s="4"/>
      <c r="L102" s="5">
        <f t="shared" si="25"/>
        <v>0</v>
      </c>
      <c r="M102" s="6" t="str">
        <f t="shared" si="26"/>
        <v/>
      </c>
      <c r="N102" s="5">
        <f t="shared" si="27"/>
        <v>0</v>
      </c>
      <c r="O102" s="5">
        <f t="shared" si="28"/>
        <v>0</v>
      </c>
      <c r="P102" s="5">
        <f t="shared" si="29"/>
        <v>0</v>
      </c>
      <c r="Q102" s="6" t="str">
        <f t="shared" si="30"/>
        <v/>
      </c>
    </row>
    <row r="103" spans="1:17" x14ac:dyDescent="0.25">
      <c r="A103" s="3" t="s">
        <v>103</v>
      </c>
      <c r="B103" s="5">
        <f>11.21</f>
        <v>11.21</v>
      </c>
      <c r="C103" s="5">
        <f>290.01</f>
        <v>290.01</v>
      </c>
      <c r="D103" s="5">
        <f t="shared" si="21"/>
        <v>-278.8</v>
      </c>
      <c r="E103" s="6">
        <f t="shared" si="22"/>
        <v>3.8653839522775083E-2</v>
      </c>
      <c r="F103" s="4"/>
      <c r="G103" s="5">
        <f>290.01</f>
        <v>290.01</v>
      </c>
      <c r="H103" s="5">
        <f t="shared" si="23"/>
        <v>-290.01</v>
      </c>
      <c r="I103" s="6">
        <f t="shared" si="24"/>
        <v>0</v>
      </c>
      <c r="J103" s="4"/>
      <c r="K103" s="5">
        <f>290.01</f>
        <v>290.01</v>
      </c>
      <c r="L103" s="5">
        <f t="shared" si="25"/>
        <v>-290.01</v>
      </c>
      <c r="M103" s="6">
        <f t="shared" si="26"/>
        <v>0</v>
      </c>
      <c r="N103" s="5">
        <f t="shared" si="27"/>
        <v>11.21</v>
      </c>
      <c r="O103" s="5">
        <f t="shared" si="28"/>
        <v>870.03</v>
      </c>
      <c r="P103" s="5">
        <f t="shared" si="29"/>
        <v>-858.81999999999994</v>
      </c>
      <c r="Q103" s="6">
        <f t="shared" si="30"/>
        <v>1.2884613174258361E-2</v>
      </c>
    </row>
    <row r="104" spans="1:17" x14ac:dyDescent="0.25">
      <c r="A104" s="3" t="s">
        <v>104</v>
      </c>
      <c r="B104" s="5">
        <f>6.04</f>
        <v>6.04</v>
      </c>
      <c r="C104" s="5">
        <f>156.16</f>
        <v>156.16</v>
      </c>
      <c r="D104" s="5">
        <f t="shared" si="21"/>
        <v>-150.12</v>
      </c>
      <c r="E104" s="6">
        <f t="shared" si="22"/>
        <v>3.8678278688524588E-2</v>
      </c>
      <c r="F104" s="4"/>
      <c r="G104" s="5">
        <f>156.16</f>
        <v>156.16</v>
      </c>
      <c r="H104" s="5">
        <f t="shared" si="23"/>
        <v>-156.16</v>
      </c>
      <c r="I104" s="6">
        <f t="shared" si="24"/>
        <v>0</v>
      </c>
      <c r="J104" s="4"/>
      <c r="K104" s="5">
        <f>156.16</f>
        <v>156.16</v>
      </c>
      <c r="L104" s="5">
        <f t="shared" si="25"/>
        <v>-156.16</v>
      </c>
      <c r="M104" s="6">
        <f t="shared" si="26"/>
        <v>0</v>
      </c>
      <c r="N104" s="5">
        <f t="shared" si="27"/>
        <v>6.04</v>
      </c>
      <c r="O104" s="5">
        <f t="shared" si="28"/>
        <v>468.48</v>
      </c>
      <c r="P104" s="5">
        <f t="shared" si="29"/>
        <v>-462.44</v>
      </c>
      <c r="Q104" s="6">
        <f t="shared" si="30"/>
        <v>1.289275956284153E-2</v>
      </c>
    </row>
    <row r="105" spans="1:17" x14ac:dyDescent="0.25">
      <c r="A105" s="3" t="s">
        <v>105</v>
      </c>
      <c r="B105" s="5">
        <f>0</f>
        <v>0</v>
      </c>
      <c r="C105" s="4"/>
      <c r="D105" s="5">
        <f t="shared" si="21"/>
        <v>0</v>
      </c>
      <c r="E105" s="6" t="str">
        <f t="shared" si="22"/>
        <v/>
      </c>
      <c r="F105" s="4"/>
      <c r="G105" s="4"/>
      <c r="H105" s="5">
        <f t="shared" si="23"/>
        <v>0</v>
      </c>
      <c r="I105" s="6" t="str">
        <f t="shared" si="24"/>
        <v/>
      </c>
      <c r="J105" s="4"/>
      <c r="K105" s="4"/>
      <c r="L105" s="5">
        <f t="shared" si="25"/>
        <v>0</v>
      </c>
      <c r="M105" s="6" t="str">
        <f t="shared" si="26"/>
        <v/>
      </c>
      <c r="N105" s="5">
        <f t="shared" si="27"/>
        <v>0</v>
      </c>
      <c r="O105" s="5">
        <f t="shared" si="28"/>
        <v>0</v>
      </c>
      <c r="P105" s="5">
        <f t="shared" si="29"/>
        <v>0</v>
      </c>
      <c r="Q105" s="6" t="str">
        <f t="shared" si="30"/>
        <v/>
      </c>
    </row>
    <row r="106" spans="1:17" x14ac:dyDescent="0.25">
      <c r="A106" s="3" t="s">
        <v>106</v>
      </c>
      <c r="B106" s="7">
        <f>(((B102)+(B103))+(B104))+(B105)</f>
        <v>17.25</v>
      </c>
      <c r="C106" s="7">
        <f>(((C102)+(C103))+(C104))+(C105)</f>
        <v>446.16999999999996</v>
      </c>
      <c r="D106" s="7">
        <f t="shared" si="21"/>
        <v>-428.91999999999996</v>
      </c>
      <c r="E106" s="8">
        <f t="shared" si="22"/>
        <v>3.8662393258175137E-2</v>
      </c>
      <c r="F106" s="7">
        <f>(((F102)+(F103))+(F104))+(F105)</f>
        <v>0</v>
      </c>
      <c r="G106" s="7">
        <f>(((G102)+(G103))+(G104))+(G105)</f>
        <v>446.16999999999996</v>
      </c>
      <c r="H106" s="7">
        <f t="shared" si="23"/>
        <v>-446.16999999999996</v>
      </c>
      <c r="I106" s="8">
        <f t="shared" si="24"/>
        <v>0</v>
      </c>
      <c r="J106" s="7">
        <f>(((J102)+(J103))+(J104))+(J105)</f>
        <v>0</v>
      </c>
      <c r="K106" s="7">
        <f>(((K102)+(K103))+(K104))+(K105)</f>
        <v>446.16999999999996</v>
      </c>
      <c r="L106" s="7">
        <f t="shared" si="25"/>
        <v>-446.16999999999996</v>
      </c>
      <c r="M106" s="8">
        <f t="shared" si="26"/>
        <v>0</v>
      </c>
      <c r="N106" s="7">
        <f t="shared" si="27"/>
        <v>17.25</v>
      </c>
      <c r="O106" s="7">
        <f t="shared" si="28"/>
        <v>1338.5099999999998</v>
      </c>
      <c r="P106" s="7">
        <f t="shared" si="29"/>
        <v>-1321.2599999999998</v>
      </c>
      <c r="Q106" s="8">
        <f t="shared" si="30"/>
        <v>1.2887464419391714E-2</v>
      </c>
    </row>
    <row r="107" spans="1:17" x14ac:dyDescent="0.25">
      <c r="A107" s="3" t="s">
        <v>107</v>
      </c>
      <c r="B107" s="4"/>
      <c r="C107" s="4"/>
      <c r="D107" s="5">
        <f t="shared" si="21"/>
        <v>0</v>
      </c>
      <c r="E107" s="6" t="str">
        <f t="shared" si="22"/>
        <v/>
      </c>
      <c r="F107" s="4"/>
      <c r="G107" s="4"/>
      <c r="H107" s="5">
        <f t="shared" si="23"/>
        <v>0</v>
      </c>
      <c r="I107" s="6" t="str">
        <f t="shared" si="24"/>
        <v/>
      </c>
      <c r="J107" s="4"/>
      <c r="K107" s="4"/>
      <c r="L107" s="5">
        <f t="shared" si="25"/>
        <v>0</v>
      </c>
      <c r="M107" s="6" t="str">
        <f t="shared" si="26"/>
        <v/>
      </c>
      <c r="N107" s="5">
        <f t="shared" si="27"/>
        <v>0</v>
      </c>
      <c r="O107" s="5">
        <f t="shared" si="28"/>
        <v>0</v>
      </c>
      <c r="P107" s="5">
        <f t="shared" si="29"/>
        <v>0</v>
      </c>
      <c r="Q107" s="6" t="str">
        <f t="shared" si="30"/>
        <v/>
      </c>
    </row>
    <row r="108" spans="1:17" x14ac:dyDescent="0.25">
      <c r="A108" s="3" t="s">
        <v>108</v>
      </c>
      <c r="B108" s="4"/>
      <c r="C108" s="5">
        <f>833.08</f>
        <v>833.08</v>
      </c>
      <c r="D108" s="5">
        <f t="shared" si="21"/>
        <v>-833.08</v>
      </c>
      <c r="E108" s="6">
        <f t="shared" si="22"/>
        <v>0</v>
      </c>
      <c r="F108" s="4"/>
      <c r="G108" s="5">
        <f>833.08</f>
        <v>833.08</v>
      </c>
      <c r="H108" s="5">
        <f t="shared" si="23"/>
        <v>-833.08</v>
      </c>
      <c r="I108" s="6">
        <f t="shared" si="24"/>
        <v>0</v>
      </c>
      <c r="J108" s="4"/>
      <c r="K108" s="5">
        <f>833.08</f>
        <v>833.08</v>
      </c>
      <c r="L108" s="5">
        <f t="shared" si="25"/>
        <v>-833.08</v>
      </c>
      <c r="M108" s="6">
        <f t="shared" si="26"/>
        <v>0</v>
      </c>
      <c r="N108" s="5">
        <f t="shared" si="27"/>
        <v>0</v>
      </c>
      <c r="O108" s="5">
        <f t="shared" si="28"/>
        <v>2499.2400000000002</v>
      </c>
      <c r="P108" s="5">
        <f t="shared" si="29"/>
        <v>-2499.2400000000002</v>
      </c>
      <c r="Q108" s="6">
        <f t="shared" si="30"/>
        <v>0</v>
      </c>
    </row>
    <row r="109" spans="1:17" x14ac:dyDescent="0.25">
      <c r="A109" s="3" t="s">
        <v>109</v>
      </c>
      <c r="B109" s="4"/>
      <c r="C109" s="5">
        <f>448.58</f>
        <v>448.58</v>
      </c>
      <c r="D109" s="5">
        <f t="shared" si="21"/>
        <v>-448.58</v>
      </c>
      <c r="E109" s="6">
        <f t="shared" si="22"/>
        <v>0</v>
      </c>
      <c r="F109" s="4"/>
      <c r="G109" s="5">
        <f>448.58</f>
        <v>448.58</v>
      </c>
      <c r="H109" s="5">
        <f t="shared" si="23"/>
        <v>-448.58</v>
      </c>
      <c r="I109" s="6">
        <f t="shared" si="24"/>
        <v>0</v>
      </c>
      <c r="J109" s="4"/>
      <c r="K109" s="5">
        <f>448.58</f>
        <v>448.58</v>
      </c>
      <c r="L109" s="5">
        <f t="shared" si="25"/>
        <v>-448.58</v>
      </c>
      <c r="M109" s="6">
        <f t="shared" si="26"/>
        <v>0</v>
      </c>
      <c r="N109" s="5">
        <f t="shared" si="27"/>
        <v>0</v>
      </c>
      <c r="O109" s="5">
        <f t="shared" si="28"/>
        <v>1345.74</v>
      </c>
      <c r="P109" s="5">
        <f t="shared" si="29"/>
        <v>-1345.74</v>
      </c>
      <c r="Q109" s="6">
        <f t="shared" si="30"/>
        <v>0</v>
      </c>
    </row>
    <row r="110" spans="1:17" x14ac:dyDescent="0.25">
      <c r="A110" s="3" t="s">
        <v>110</v>
      </c>
      <c r="B110" s="7">
        <f>((B107)+(B108))+(B109)</f>
        <v>0</v>
      </c>
      <c r="C110" s="7">
        <f>((C107)+(C108))+(C109)</f>
        <v>1281.6600000000001</v>
      </c>
      <c r="D110" s="7">
        <f t="shared" ref="D110:D123" si="31">(B110)-(C110)</f>
        <v>-1281.6600000000001</v>
      </c>
      <c r="E110" s="8">
        <f t="shared" ref="E110:E123" si="32">IF(C110=0,"",(B110)/(C110))</f>
        <v>0</v>
      </c>
      <c r="F110" s="7">
        <f>((F107)+(F108))+(F109)</f>
        <v>0</v>
      </c>
      <c r="G110" s="7">
        <f>((G107)+(G108))+(G109)</f>
        <v>1281.6600000000001</v>
      </c>
      <c r="H110" s="7">
        <f t="shared" ref="H110:H123" si="33">(F110)-(G110)</f>
        <v>-1281.6600000000001</v>
      </c>
      <c r="I110" s="8">
        <f t="shared" ref="I110:I123" si="34">IF(G110=0,"",(F110)/(G110))</f>
        <v>0</v>
      </c>
      <c r="J110" s="7">
        <f>((J107)+(J108))+(J109)</f>
        <v>0</v>
      </c>
      <c r="K110" s="7">
        <f>((K107)+(K108))+(K109)</f>
        <v>1281.6600000000001</v>
      </c>
      <c r="L110" s="7">
        <f t="shared" ref="L110:L123" si="35">(J110)-(K110)</f>
        <v>-1281.6600000000001</v>
      </c>
      <c r="M110" s="8">
        <f t="shared" ref="M110:M123" si="36">IF(K110=0,"",(J110)/(K110))</f>
        <v>0</v>
      </c>
      <c r="N110" s="7">
        <f t="shared" ref="N110:N123" si="37">((B110)+(F110))+(J110)</f>
        <v>0</v>
      </c>
      <c r="O110" s="7">
        <f t="shared" ref="O110:O123" si="38">((C110)+(G110))+(K110)</f>
        <v>3844.9800000000005</v>
      </c>
      <c r="P110" s="7">
        <f t="shared" ref="P110:P123" si="39">(N110)-(O110)</f>
        <v>-3844.9800000000005</v>
      </c>
      <c r="Q110" s="8">
        <f t="shared" ref="Q110:Q123" si="40">IF(O110=0,"",(N110)/(O110))</f>
        <v>0</v>
      </c>
    </row>
    <row r="111" spans="1:17" x14ac:dyDescent="0.25">
      <c r="A111" s="3" t="s">
        <v>111</v>
      </c>
      <c r="B111" s="4"/>
      <c r="C111" s="4"/>
      <c r="D111" s="5">
        <f t="shared" si="31"/>
        <v>0</v>
      </c>
      <c r="E111" s="6" t="str">
        <f t="shared" si="32"/>
        <v/>
      </c>
      <c r="F111" s="4"/>
      <c r="G111" s="4"/>
      <c r="H111" s="5">
        <f t="shared" si="33"/>
        <v>0</v>
      </c>
      <c r="I111" s="6" t="str">
        <f t="shared" si="34"/>
        <v/>
      </c>
      <c r="J111" s="4"/>
      <c r="K111" s="4"/>
      <c r="L111" s="5">
        <f t="shared" si="35"/>
        <v>0</v>
      </c>
      <c r="M111" s="6" t="str">
        <f t="shared" si="36"/>
        <v/>
      </c>
      <c r="N111" s="5">
        <f t="shared" si="37"/>
        <v>0</v>
      </c>
      <c r="O111" s="5">
        <f t="shared" si="38"/>
        <v>0</v>
      </c>
      <c r="P111" s="5">
        <f t="shared" si="39"/>
        <v>0</v>
      </c>
      <c r="Q111" s="6" t="str">
        <f t="shared" si="40"/>
        <v/>
      </c>
    </row>
    <row r="112" spans="1:17" x14ac:dyDescent="0.25">
      <c r="A112" s="3" t="s">
        <v>112</v>
      </c>
      <c r="B112" s="4"/>
      <c r="C112" s="5">
        <f>2979.17</f>
        <v>2979.17</v>
      </c>
      <c r="D112" s="5">
        <f t="shared" si="31"/>
        <v>-2979.17</v>
      </c>
      <c r="E112" s="6">
        <f t="shared" si="32"/>
        <v>0</v>
      </c>
      <c r="F112" s="5">
        <f>78</f>
        <v>78</v>
      </c>
      <c r="G112" s="5">
        <f>2979.17</f>
        <v>2979.17</v>
      </c>
      <c r="H112" s="5">
        <f t="shared" si="33"/>
        <v>-2901.17</v>
      </c>
      <c r="I112" s="6">
        <f t="shared" si="34"/>
        <v>2.6181788887508935E-2</v>
      </c>
      <c r="J112" s="5">
        <f>0</f>
        <v>0</v>
      </c>
      <c r="K112" s="5">
        <f>2979.17</f>
        <v>2979.17</v>
      </c>
      <c r="L112" s="5">
        <f t="shared" si="35"/>
        <v>-2979.17</v>
      </c>
      <c r="M112" s="6">
        <f t="shared" si="36"/>
        <v>0</v>
      </c>
      <c r="N112" s="5">
        <f t="shared" si="37"/>
        <v>78</v>
      </c>
      <c r="O112" s="5">
        <f t="shared" si="38"/>
        <v>8937.51</v>
      </c>
      <c r="P112" s="5">
        <f t="shared" si="39"/>
        <v>-8859.51</v>
      </c>
      <c r="Q112" s="6">
        <f t="shared" si="40"/>
        <v>8.7272629625029796E-3</v>
      </c>
    </row>
    <row r="113" spans="1:17" x14ac:dyDescent="0.25">
      <c r="A113" s="3" t="s">
        <v>113</v>
      </c>
      <c r="B113" s="4"/>
      <c r="C113" s="5">
        <f>1604.17</f>
        <v>1604.17</v>
      </c>
      <c r="D113" s="5">
        <f t="shared" si="31"/>
        <v>-1604.17</v>
      </c>
      <c r="E113" s="6">
        <f t="shared" si="32"/>
        <v>0</v>
      </c>
      <c r="F113" s="5">
        <f>42</f>
        <v>42</v>
      </c>
      <c r="G113" s="5">
        <f>1604.17</f>
        <v>1604.17</v>
      </c>
      <c r="H113" s="5">
        <f t="shared" si="33"/>
        <v>-1562.17</v>
      </c>
      <c r="I113" s="6">
        <f t="shared" si="34"/>
        <v>2.6181763778153188E-2</v>
      </c>
      <c r="J113" s="5">
        <f>0</f>
        <v>0</v>
      </c>
      <c r="K113" s="5">
        <f>1604.17</f>
        <v>1604.17</v>
      </c>
      <c r="L113" s="5">
        <f t="shared" si="35"/>
        <v>-1604.17</v>
      </c>
      <c r="M113" s="6">
        <f t="shared" si="36"/>
        <v>0</v>
      </c>
      <c r="N113" s="5">
        <f t="shared" si="37"/>
        <v>42</v>
      </c>
      <c r="O113" s="5">
        <f t="shared" si="38"/>
        <v>4812.51</v>
      </c>
      <c r="P113" s="5">
        <f t="shared" si="39"/>
        <v>-4770.51</v>
      </c>
      <c r="Q113" s="6">
        <f t="shared" si="40"/>
        <v>8.7272545927177293E-3</v>
      </c>
    </row>
    <row r="114" spans="1:17" x14ac:dyDescent="0.25">
      <c r="A114" s="3" t="s">
        <v>114</v>
      </c>
      <c r="B114" s="4"/>
      <c r="C114" s="4"/>
      <c r="D114" s="5">
        <f t="shared" si="31"/>
        <v>0</v>
      </c>
      <c r="E114" s="6" t="str">
        <f t="shared" si="32"/>
        <v/>
      </c>
      <c r="F114" s="5">
        <f>0</f>
        <v>0</v>
      </c>
      <c r="G114" s="4"/>
      <c r="H114" s="5">
        <f t="shared" si="33"/>
        <v>0</v>
      </c>
      <c r="I114" s="6" t="str">
        <f t="shared" si="34"/>
        <v/>
      </c>
      <c r="J114" s="5">
        <f>0</f>
        <v>0</v>
      </c>
      <c r="K114" s="4"/>
      <c r="L114" s="5">
        <f t="shared" si="35"/>
        <v>0</v>
      </c>
      <c r="M114" s="6" t="str">
        <f t="shared" si="36"/>
        <v/>
      </c>
      <c r="N114" s="5">
        <f t="shared" si="37"/>
        <v>0</v>
      </c>
      <c r="O114" s="5">
        <f t="shared" si="38"/>
        <v>0</v>
      </c>
      <c r="P114" s="5">
        <f t="shared" si="39"/>
        <v>0</v>
      </c>
      <c r="Q114" s="6" t="str">
        <f t="shared" si="40"/>
        <v/>
      </c>
    </row>
    <row r="115" spans="1:17" x14ac:dyDescent="0.25">
      <c r="A115" s="3" t="s">
        <v>115</v>
      </c>
      <c r="B115" s="7">
        <f>(((B111)+(B112))+(B113))+(B114)</f>
        <v>0</v>
      </c>
      <c r="C115" s="7">
        <f>(((C111)+(C112))+(C113))+(C114)</f>
        <v>4583.34</v>
      </c>
      <c r="D115" s="7">
        <f t="shared" si="31"/>
        <v>-4583.34</v>
      </c>
      <c r="E115" s="8">
        <f t="shared" si="32"/>
        <v>0</v>
      </c>
      <c r="F115" s="7">
        <f>(((F111)+(F112))+(F113))+(F114)</f>
        <v>120</v>
      </c>
      <c r="G115" s="7">
        <f>(((G111)+(G112))+(G113))+(G114)</f>
        <v>4583.34</v>
      </c>
      <c r="H115" s="7">
        <f t="shared" si="33"/>
        <v>-4463.34</v>
      </c>
      <c r="I115" s="8">
        <f t="shared" si="34"/>
        <v>2.6181780099228946E-2</v>
      </c>
      <c r="J115" s="7">
        <f>(((J111)+(J112))+(J113))+(J114)</f>
        <v>0</v>
      </c>
      <c r="K115" s="7">
        <f>(((K111)+(K112))+(K113))+(K114)</f>
        <v>4583.34</v>
      </c>
      <c r="L115" s="7">
        <f t="shared" si="35"/>
        <v>-4583.34</v>
      </c>
      <c r="M115" s="8">
        <f t="shared" si="36"/>
        <v>0</v>
      </c>
      <c r="N115" s="7">
        <f t="shared" si="37"/>
        <v>120</v>
      </c>
      <c r="O115" s="7">
        <f t="shared" si="38"/>
        <v>13750.02</v>
      </c>
      <c r="P115" s="7">
        <f t="shared" si="39"/>
        <v>-13630.02</v>
      </c>
      <c r="Q115" s="8">
        <f t="shared" si="40"/>
        <v>8.7272600330763148E-3</v>
      </c>
    </row>
    <row r="116" spans="1:17" x14ac:dyDescent="0.25">
      <c r="A116" s="3" t="s">
        <v>116</v>
      </c>
      <c r="B116" s="4"/>
      <c r="C116" s="4"/>
      <c r="D116" s="5">
        <f t="shared" si="31"/>
        <v>0</v>
      </c>
      <c r="E116" s="6" t="str">
        <f t="shared" si="32"/>
        <v/>
      </c>
      <c r="F116" s="4"/>
      <c r="G116" s="4"/>
      <c r="H116" s="5">
        <f t="shared" si="33"/>
        <v>0</v>
      </c>
      <c r="I116" s="6" t="str">
        <f t="shared" si="34"/>
        <v/>
      </c>
      <c r="J116" s="4"/>
      <c r="K116" s="4"/>
      <c r="L116" s="5">
        <f t="shared" si="35"/>
        <v>0</v>
      </c>
      <c r="M116" s="6" t="str">
        <f t="shared" si="36"/>
        <v/>
      </c>
      <c r="N116" s="5">
        <f t="shared" si="37"/>
        <v>0</v>
      </c>
      <c r="O116" s="5">
        <f t="shared" si="38"/>
        <v>0</v>
      </c>
      <c r="P116" s="5">
        <f t="shared" si="39"/>
        <v>0</v>
      </c>
      <c r="Q116" s="6" t="str">
        <f t="shared" si="40"/>
        <v/>
      </c>
    </row>
    <row r="117" spans="1:17" x14ac:dyDescent="0.25">
      <c r="A117" s="3" t="s">
        <v>117</v>
      </c>
      <c r="B117" s="5">
        <f>3.87</f>
        <v>3.87</v>
      </c>
      <c r="C117" s="5">
        <f>92.08</f>
        <v>92.08</v>
      </c>
      <c r="D117" s="5">
        <f t="shared" si="31"/>
        <v>-88.21</v>
      </c>
      <c r="E117" s="6">
        <f t="shared" si="32"/>
        <v>4.2028670721112077E-2</v>
      </c>
      <c r="F117" s="5">
        <f>3.74</f>
        <v>3.74</v>
      </c>
      <c r="G117" s="5">
        <f>92.08</f>
        <v>92.08</v>
      </c>
      <c r="H117" s="5">
        <f t="shared" si="33"/>
        <v>-88.34</v>
      </c>
      <c r="I117" s="6">
        <f t="shared" si="34"/>
        <v>4.061685490877498E-2</v>
      </c>
      <c r="J117" s="5">
        <f>3.74</f>
        <v>3.74</v>
      </c>
      <c r="K117" s="5">
        <f>92.08</f>
        <v>92.08</v>
      </c>
      <c r="L117" s="5">
        <f t="shared" si="35"/>
        <v>-88.34</v>
      </c>
      <c r="M117" s="6">
        <f t="shared" si="36"/>
        <v>4.061685490877498E-2</v>
      </c>
      <c r="N117" s="5">
        <f t="shared" si="37"/>
        <v>11.350000000000001</v>
      </c>
      <c r="O117" s="5">
        <f t="shared" si="38"/>
        <v>276.24</v>
      </c>
      <c r="P117" s="5">
        <f t="shared" si="39"/>
        <v>-264.89</v>
      </c>
      <c r="Q117" s="6">
        <f t="shared" si="40"/>
        <v>4.1087460179554017E-2</v>
      </c>
    </row>
    <row r="118" spans="1:17" x14ac:dyDescent="0.25">
      <c r="A118" s="3" t="s">
        <v>118</v>
      </c>
      <c r="B118" s="5">
        <f>2.07</f>
        <v>2.0699999999999998</v>
      </c>
      <c r="C118" s="5">
        <f>49.58</f>
        <v>49.58</v>
      </c>
      <c r="D118" s="5">
        <f t="shared" si="31"/>
        <v>-47.51</v>
      </c>
      <c r="E118" s="6">
        <f t="shared" si="32"/>
        <v>4.1750705929810408E-2</v>
      </c>
      <c r="F118" s="5">
        <f>2.01</f>
        <v>2.0099999999999998</v>
      </c>
      <c r="G118" s="5">
        <f>49.58</f>
        <v>49.58</v>
      </c>
      <c r="H118" s="5">
        <f t="shared" si="33"/>
        <v>-47.57</v>
      </c>
      <c r="I118" s="6">
        <f t="shared" si="34"/>
        <v>4.0540540540540536E-2</v>
      </c>
      <c r="J118" s="5">
        <f>2</f>
        <v>2</v>
      </c>
      <c r="K118" s="5">
        <f>49.58</f>
        <v>49.58</v>
      </c>
      <c r="L118" s="5">
        <f t="shared" si="35"/>
        <v>-47.58</v>
      </c>
      <c r="M118" s="6">
        <f t="shared" si="36"/>
        <v>4.0338846308995563E-2</v>
      </c>
      <c r="N118" s="5">
        <f t="shared" si="37"/>
        <v>6.08</v>
      </c>
      <c r="O118" s="5">
        <f t="shared" si="38"/>
        <v>148.74</v>
      </c>
      <c r="P118" s="5">
        <f t="shared" si="39"/>
        <v>-142.66</v>
      </c>
      <c r="Q118" s="6">
        <f t="shared" si="40"/>
        <v>4.0876697593115505E-2</v>
      </c>
    </row>
    <row r="119" spans="1:17" x14ac:dyDescent="0.25">
      <c r="A119" s="3" t="s">
        <v>119</v>
      </c>
      <c r="B119" s="5">
        <f>0</f>
        <v>0</v>
      </c>
      <c r="C119" s="4"/>
      <c r="D119" s="5">
        <f t="shared" si="31"/>
        <v>0</v>
      </c>
      <c r="E119" s="6" t="str">
        <f t="shared" si="32"/>
        <v/>
      </c>
      <c r="F119" s="5">
        <f>0</f>
        <v>0</v>
      </c>
      <c r="G119" s="4"/>
      <c r="H119" s="5">
        <f t="shared" si="33"/>
        <v>0</v>
      </c>
      <c r="I119" s="6" t="str">
        <f t="shared" si="34"/>
        <v/>
      </c>
      <c r="J119" s="5">
        <f>0</f>
        <v>0</v>
      </c>
      <c r="K119" s="4"/>
      <c r="L119" s="5">
        <f t="shared" si="35"/>
        <v>0</v>
      </c>
      <c r="M119" s="6" t="str">
        <f t="shared" si="36"/>
        <v/>
      </c>
      <c r="N119" s="5">
        <f t="shared" si="37"/>
        <v>0</v>
      </c>
      <c r="O119" s="5">
        <f t="shared" si="38"/>
        <v>0</v>
      </c>
      <c r="P119" s="5">
        <f t="shared" si="39"/>
        <v>0</v>
      </c>
      <c r="Q119" s="6" t="str">
        <f t="shared" si="40"/>
        <v/>
      </c>
    </row>
    <row r="120" spans="1:17" x14ac:dyDescent="0.25">
      <c r="A120" s="3" t="s">
        <v>120</v>
      </c>
      <c r="B120" s="7">
        <f>(((B116)+(B117))+(B118))+(B119)</f>
        <v>5.9399999999999995</v>
      </c>
      <c r="C120" s="7">
        <f>(((C116)+(C117))+(C118))+(C119)</f>
        <v>141.66</v>
      </c>
      <c r="D120" s="7">
        <f t="shared" si="31"/>
        <v>-135.72</v>
      </c>
      <c r="E120" s="8">
        <f t="shared" si="32"/>
        <v>4.1931385006353239E-2</v>
      </c>
      <c r="F120" s="7">
        <f>(((F116)+(F117))+(F118))+(F119)</f>
        <v>5.75</v>
      </c>
      <c r="G120" s="7">
        <f>(((G116)+(G117))+(G118))+(G119)</f>
        <v>141.66</v>
      </c>
      <c r="H120" s="7">
        <f t="shared" si="33"/>
        <v>-135.91</v>
      </c>
      <c r="I120" s="8">
        <f t="shared" si="34"/>
        <v>4.0590145418607934E-2</v>
      </c>
      <c r="J120" s="7">
        <f>(((J116)+(J117))+(J118))+(J119)</f>
        <v>5.74</v>
      </c>
      <c r="K120" s="7">
        <f>(((K116)+(K117))+(K118))+(K119)</f>
        <v>141.66</v>
      </c>
      <c r="L120" s="7">
        <f t="shared" si="35"/>
        <v>-135.91999999999999</v>
      </c>
      <c r="M120" s="8">
        <f t="shared" si="36"/>
        <v>4.0519553861358186E-2</v>
      </c>
      <c r="N120" s="7">
        <f t="shared" si="37"/>
        <v>17.43</v>
      </c>
      <c r="O120" s="7">
        <f t="shared" si="38"/>
        <v>424.98</v>
      </c>
      <c r="P120" s="7">
        <f t="shared" si="39"/>
        <v>-407.55</v>
      </c>
      <c r="Q120" s="8">
        <f t="shared" si="40"/>
        <v>4.1013694762106451E-2</v>
      </c>
    </row>
    <row r="121" spans="1:17" x14ac:dyDescent="0.25">
      <c r="A121" s="3" t="s">
        <v>121</v>
      </c>
      <c r="B121" s="7">
        <f>(((((((((((((((((((((B18)+(B23))+(B28))+(B33))+(B38))+(B43))+(B48))+(B53))+(B58))+(B63))+(B68))+(B72))+(B77))+(B82))+(B86))+(B91))+(B96))+(B101))+(B106))+(B110))+(B115))+(B120)</f>
        <v>14122.08</v>
      </c>
      <c r="C121" s="7">
        <f>(((((((((((((((((((((C18)+(C23))+(C28))+(C33))+(C38))+(C43))+(C48))+(C53))+(C58))+(C63))+(C68))+(C72))+(C77))+(C82))+(C86))+(C91))+(C96))+(C101))+(C106))+(C110))+(C115))+(C120)</f>
        <v>29186.600000000002</v>
      </c>
      <c r="D121" s="7">
        <f t="shared" si="31"/>
        <v>-15064.520000000002</v>
      </c>
      <c r="E121" s="8">
        <f t="shared" si="32"/>
        <v>0.4838549197234347</v>
      </c>
      <c r="F121" s="7">
        <f>(((((((((((((((((((((F18)+(F23))+(F28))+(F33))+(F38))+(F43))+(F48))+(F53))+(F58))+(F63))+(F68))+(F72))+(F77))+(F82))+(F86))+(F91))+(F96))+(F101))+(F106))+(F110))+(F115))+(F120)</f>
        <v>18344.3</v>
      </c>
      <c r="G121" s="7">
        <f>(((((((((((((((((((((G18)+(G23))+(G28))+(G33))+(G38))+(G43))+(G48))+(G53))+(G58))+(G63))+(G68))+(G72))+(G77))+(G82))+(G86))+(G91))+(G96))+(G101))+(G106))+(G110))+(G115))+(G120)</f>
        <v>29186.600000000002</v>
      </c>
      <c r="H121" s="7">
        <f t="shared" si="33"/>
        <v>-10842.300000000003</v>
      </c>
      <c r="I121" s="8">
        <f t="shared" si="34"/>
        <v>0.62851788149356203</v>
      </c>
      <c r="J121" s="7">
        <f>(((((((((((((((((((((J18)+(J23))+(J28))+(J33))+(J38))+(J43))+(J48))+(J53))+(J58))+(J63))+(J68))+(J72))+(J77))+(J82))+(J86))+(J91))+(J96))+(J101))+(J106))+(J110))+(J115))+(J120)</f>
        <v>25645.170000000006</v>
      </c>
      <c r="K121" s="7">
        <f>(((((((((((((((((((((K18)+(K23))+(K28))+(K33))+(K38))+(K43))+(K48))+(K53))+(K58))+(K63))+(K68))+(K72))+(K77))+(K82))+(K86))+(K91))+(K96))+(K101))+(K106))+(K110))+(K115))+(K120)</f>
        <v>29186.600000000002</v>
      </c>
      <c r="L121" s="7">
        <f t="shared" si="35"/>
        <v>-3541.4299999999967</v>
      </c>
      <c r="M121" s="8">
        <f t="shared" si="36"/>
        <v>0.87866246839302975</v>
      </c>
      <c r="N121" s="7">
        <f t="shared" si="37"/>
        <v>58111.55</v>
      </c>
      <c r="O121" s="7">
        <f t="shared" si="38"/>
        <v>87559.8</v>
      </c>
      <c r="P121" s="7">
        <f t="shared" si="39"/>
        <v>-29448.25</v>
      </c>
      <c r="Q121" s="8">
        <f t="shared" si="40"/>
        <v>0.66367842320334214</v>
      </c>
    </row>
    <row r="122" spans="1:17" x14ac:dyDescent="0.25">
      <c r="A122" s="3" t="s">
        <v>122</v>
      </c>
      <c r="B122" s="7">
        <f>(B12)-(B121)</f>
        <v>9.750000000001819</v>
      </c>
      <c r="C122" s="7">
        <f>(C12)-(C121)</f>
        <v>0</v>
      </c>
      <c r="D122" s="7">
        <f t="shared" si="31"/>
        <v>9.750000000001819</v>
      </c>
      <c r="E122" s="8" t="str">
        <f t="shared" si="32"/>
        <v/>
      </c>
      <c r="F122" s="7">
        <f>(F12)-(F121)</f>
        <v>-203.41999999999462</v>
      </c>
      <c r="G122" s="7">
        <f>(G12)-(G121)</f>
        <v>0</v>
      </c>
      <c r="H122" s="7">
        <f t="shared" si="33"/>
        <v>-203.41999999999462</v>
      </c>
      <c r="I122" s="8" t="str">
        <f t="shared" si="34"/>
        <v/>
      </c>
      <c r="J122" s="7">
        <f>(J12)-(J121)</f>
        <v>8.0099999999911233</v>
      </c>
      <c r="K122" s="7">
        <f>(K12)-(K121)</f>
        <v>0</v>
      </c>
      <c r="L122" s="7">
        <f t="shared" si="35"/>
        <v>8.0099999999911233</v>
      </c>
      <c r="M122" s="8" t="str">
        <f t="shared" si="36"/>
        <v/>
      </c>
      <c r="N122" s="7">
        <f t="shared" si="37"/>
        <v>-185.66000000000167</v>
      </c>
      <c r="O122" s="7">
        <f t="shared" si="38"/>
        <v>0</v>
      </c>
      <c r="P122" s="7">
        <f t="shared" si="39"/>
        <v>-185.66000000000167</v>
      </c>
      <c r="Q122" s="8" t="str">
        <f t="shared" si="40"/>
        <v/>
      </c>
    </row>
    <row r="123" spans="1:17" x14ac:dyDescent="0.25">
      <c r="A123" s="3" t="s">
        <v>123</v>
      </c>
      <c r="B123" s="9">
        <f>(B122)+(0)</f>
        <v>9.750000000001819</v>
      </c>
      <c r="C123" s="9">
        <f>(C122)+(0)</f>
        <v>0</v>
      </c>
      <c r="D123" s="9">
        <f t="shared" si="31"/>
        <v>9.750000000001819</v>
      </c>
      <c r="E123" s="10" t="str">
        <f t="shared" si="32"/>
        <v/>
      </c>
      <c r="F123" s="9">
        <f>(F122)+(0)</f>
        <v>-203.41999999999462</v>
      </c>
      <c r="G123" s="9">
        <f>(G122)+(0)</f>
        <v>0</v>
      </c>
      <c r="H123" s="9">
        <f t="shared" si="33"/>
        <v>-203.41999999999462</v>
      </c>
      <c r="I123" s="10" t="str">
        <f t="shared" si="34"/>
        <v/>
      </c>
      <c r="J123" s="9">
        <f>(J122)+(0)</f>
        <v>8.0099999999911233</v>
      </c>
      <c r="K123" s="9">
        <f>(K122)+(0)</f>
        <v>0</v>
      </c>
      <c r="L123" s="9">
        <f t="shared" si="35"/>
        <v>8.0099999999911233</v>
      </c>
      <c r="M123" s="10" t="str">
        <f t="shared" si="36"/>
        <v/>
      </c>
      <c r="N123" s="9">
        <f t="shared" si="37"/>
        <v>-185.66000000000167</v>
      </c>
      <c r="O123" s="9">
        <f t="shared" si="38"/>
        <v>0</v>
      </c>
      <c r="P123" s="9">
        <f t="shared" si="39"/>
        <v>-185.66000000000167</v>
      </c>
      <c r="Q123" s="10" t="str">
        <f t="shared" si="40"/>
        <v/>
      </c>
    </row>
    <row r="124" spans="1:17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7" spans="1:17" x14ac:dyDescent="0.25">
      <c r="A127" s="13" t="s">
        <v>124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</sheetData>
  <pageMargins left="0.45" right="0.45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E84DAAD572049970A785D5B607B18" ma:contentTypeVersion="" ma:contentTypeDescription="Create a new document." ma:contentTypeScope="" ma:versionID="6983216a39e1fc7140d8ee3af9a3c13d">
  <xsd:schema xmlns:xsd="http://www.w3.org/2001/XMLSchema" xmlns:xs="http://www.w3.org/2001/XMLSchema" xmlns:p="http://schemas.microsoft.com/office/2006/metadata/properties" xmlns:ns2="3E1FEAD8-66C8-4AC3-9426-453F41452C22" xmlns:ns3="3e1fead8-66c8-4ac3-9426-453f41452c22" xmlns:ns4="8eea684e-2edb-475f-bb3f-7f71668ef51e" targetNamespace="http://schemas.microsoft.com/office/2006/metadata/properties" ma:root="true" ma:fieldsID="075dd802353ce2fce5f5d999e9db5408" ns2:_="" ns3:_="" ns4:_="">
    <xsd:import namespace="3E1FEAD8-66C8-4AC3-9426-453F41452C22"/>
    <xsd:import namespace="3e1fead8-66c8-4ac3-9426-453f41452c22"/>
    <xsd:import namespace="8eea684e-2edb-475f-bb3f-7f71668ef5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FEAD8-66C8-4AC3-9426-453F41452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fead8-66c8-4ac3-9426-453f41452c22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a684e-2edb-475f-bb3f-7f71668ef5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CF8E8-B4C3-4376-B220-40ADFF0206E6}">
  <ds:schemaRefs>
    <ds:schemaRef ds:uri="3e1fead8-66c8-4ac3-9426-453f41452c22"/>
    <ds:schemaRef ds:uri="http://purl.org/dc/dcmitype/"/>
    <ds:schemaRef ds:uri="http://purl.org/dc/elements/1.1/"/>
    <ds:schemaRef ds:uri="http://schemas.microsoft.com/office/2006/metadata/properties"/>
    <ds:schemaRef ds:uri="8eea684e-2edb-475f-bb3f-7f71668ef51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E1FEAD8-66C8-4AC3-9426-453F41452C2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1E2E01F-43C1-4639-866C-0790496E67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9D00C5-3DAA-4F10-B43F-A6047CEBA4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1FEAD8-66C8-4AC3-9426-453F41452C22"/>
    <ds:schemaRef ds:uri="3e1fead8-66c8-4ac3-9426-453f41452c22"/>
    <ds:schemaRef ds:uri="8eea684e-2edb-475f-bb3f-7f71668ef5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Tracy Brown</cp:lastModifiedBy>
  <cp:lastPrinted>2021-01-11T17:58:59Z</cp:lastPrinted>
  <dcterms:created xsi:type="dcterms:W3CDTF">2021-01-04T20:25:20Z</dcterms:created>
  <dcterms:modified xsi:type="dcterms:W3CDTF">2021-01-11T18:03:52Z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0x010100133E84DAAD572049970A785D5B607B18</vt:lpwstr>
  </property>
</Properties>
</file>