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Jenna Hamdy\Downloads\"/>
    </mc:Choice>
  </mc:AlternateContent>
  <xr:revisionPtr revIDLastSave="0" documentId="8_{0F8DB2E1-F280-4EA4-ACCA-4ADF60EC1C5D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Budget vs. Actual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V116" i="1" l="1"/>
  <c r="S116" i="1"/>
  <c r="U116" i="1" s="1"/>
  <c r="O116" i="1"/>
  <c r="Q116" i="1" s="1"/>
  <c r="K116" i="1"/>
  <c r="M116" i="1" s="1"/>
  <c r="G116" i="1"/>
  <c r="I116" i="1" s="1"/>
  <c r="C116" i="1"/>
  <c r="W116" i="1" s="1"/>
  <c r="Y116" i="1" s="1"/>
  <c r="W114" i="1"/>
  <c r="Y114" i="1" s="1"/>
  <c r="U114" i="1"/>
  <c r="R114" i="1"/>
  <c r="T114" i="1" s="1"/>
  <c r="Q114" i="1"/>
  <c r="P114" i="1"/>
  <c r="N114" i="1"/>
  <c r="M114" i="1"/>
  <c r="J114" i="1"/>
  <c r="L114" i="1" s="1"/>
  <c r="I114" i="1"/>
  <c r="F114" i="1"/>
  <c r="H114" i="1" s="1"/>
  <c r="E114" i="1"/>
  <c r="B114" i="1"/>
  <c r="D114" i="1" s="1"/>
  <c r="T113" i="1"/>
  <c r="S113" i="1"/>
  <c r="U113" i="1" s="1"/>
  <c r="R113" i="1"/>
  <c r="Q113" i="1"/>
  <c r="P113" i="1"/>
  <c r="O113" i="1"/>
  <c r="N113" i="1"/>
  <c r="K113" i="1"/>
  <c r="J113" i="1"/>
  <c r="M113" i="1" s="1"/>
  <c r="H113" i="1"/>
  <c r="G113" i="1"/>
  <c r="W113" i="1" s="1"/>
  <c r="F113" i="1"/>
  <c r="E113" i="1"/>
  <c r="D113" i="1"/>
  <c r="C113" i="1"/>
  <c r="B113" i="1"/>
  <c r="T112" i="1"/>
  <c r="S112" i="1"/>
  <c r="S115" i="1" s="1"/>
  <c r="R112" i="1"/>
  <c r="R115" i="1" s="1"/>
  <c r="T115" i="1" s="1"/>
  <c r="Q112" i="1"/>
  <c r="P112" i="1"/>
  <c r="O112" i="1"/>
  <c r="O115" i="1" s="1"/>
  <c r="N112" i="1"/>
  <c r="N115" i="1" s="1"/>
  <c r="P115" i="1" s="1"/>
  <c r="M112" i="1"/>
  <c r="K112" i="1"/>
  <c r="K115" i="1" s="1"/>
  <c r="J112" i="1"/>
  <c r="L112" i="1" s="1"/>
  <c r="H112" i="1"/>
  <c r="G112" i="1"/>
  <c r="G115" i="1" s="1"/>
  <c r="F112" i="1"/>
  <c r="F115" i="1" s="1"/>
  <c r="H115" i="1" s="1"/>
  <c r="E112" i="1"/>
  <c r="D112" i="1"/>
  <c r="C112" i="1"/>
  <c r="C115" i="1" s="1"/>
  <c r="B112" i="1"/>
  <c r="B115" i="1" s="1"/>
  <c r="Y111" i="1"/>
  <c r="W111" i="1"/>
  <c r="V111" i="1"/>
  <c r="X111" i="1" s="1"/>
  <c r="U111" i="1"/>
  <c r="T111" i="1"/>
  <c r="Q111" i="1"/>
  <c r="P111" i="1"/>
  <c r="M111" i="1"/>
  <c r="L111" i="1"/>
  <c r="I111" i="1"/>
  <c r="H111" i="1"/>
  <c r="E111" i="1"/>
  <c r="D111" i="1"/>
  <c r="O110" i="1"/>
  <c r="C110" i="1"/>
  <c r="W109" i="1"/>
  <c r="Y109" i="1" s="1"/>
  <c r="U109" i="1"/>
  <c r="R109" i="1"/>
  <c r="T109" i="1" s="1"/>
  <c r="Q109" i="1"/>
  <c r="P109" i="1"/>
  <c r="N109" i="1"/>
  <c r="M109" i="1"/>
  <c r="L109" i="1"/>
  <c r="J109" i="1"/>
  <c r="I109" i="1"/>
  <c r="F109" i="1"/>
  <c r="H109" i="1" s="1"/>
  <c r="E109" i="1"/>
  <c r="B109" i="1"/>
  <c r="D109" i="1" s="1"/>
  <c r="V108" i="1"/>
  <c r="X108" i="1" s="1"/>
  <c r="S108" i="1"/>
  <c r="U108" i="1" s="1"/>
  <c r="R108" i="1"/>
  <c r="T108" i="1" s="1"/>
  <c r="Q108" i="1"/>
  <c r="P108" i="1"/>
  <c r="O108" i="1"/>
  <c r="N108" i="1"/>
  <c r="K108" i="1"/>
  <c r="J108" i="1"/>
  <c r="G108" i="1"/>
  <c r="W108" i="1" s="1"/>
  <c r="F108" i="1"/>
  <c r="H108" i="1" s="1"/>
  <c r="E108" i="1"/>
  <c r="D108" i="1"/>
  <c r="C108" i="1"/>
  <c r="B108" i="1"/>
  <c r="S107" i="1"/>
  <c r="U107" i="1" s="1"/>
  <c r="R107" i="1"/>
  <c r="T107" i="1" s="1"/>
  <c r="Q107" i="1"/>
  <c r="P107" i="1"/>
  <c r="O107" i="1"/>
  <c r="N107" i="1"/>
  <c r="N110" i="1" s="1"/>
  <c r="P110" i="1" s="1"/>
  <c r="M107" i="1"/>
  <c r="K107" i="1"/>
  <c r="K110" i="1" s="1"/>
  <c r="J107" i="1"/>
  <c r="G107" i="1"/>
  <c r="W107" i="1" s="1"/>
  <c r="F107" i="1"/>
  <c r="H107" i="1" s="1"/>
  <c r="E107" i="1"/>
  <c r="D107" i="1"/>
  <c r="C107" i="1"/>
  <c r="B107" i="1"/>
  <c r="B110" i="1" s="1"/>
  <c r="Y106" i="1"/>
  <c r="W106" i="1"/>
  <c r="V106" i="1"/>
  <c r="X106" i="1" s="1"/>
  <c r="U106" i="1"/>
  <c r="T106" i="1"/>
  <c r="Q106" i="1"/>
  <c r="P106" i="1"/>
  <c r="M106" i="1"/>
  <c r="L106" i="1"/>
  <c r="I106" i="1"/>
  <c r="H106" i="1"/>
  <c r="E106" i="1"/>
  <c r="D106" i="1"/>
  <c r="O105" i="1"/>
  <c r="L105" i="1"/>
  <c r="J105" i="1"/>
  <c r="F105" i="1"/>
  <c r="C105" i="1"/>
  <c r="B105" i="1"/>
  <c r="W104" i="1"/>
  <c r="Y104" i="1" s="1"/>
  <c r="U104" i="1"/>
  <c r="R104" i="1"/>
  <c r="T104" i="1" s="1"/>
  <c r="Q104" i="1"/>
  <c r="N104" i="1"/>
  <c r="V104" i="1" s="1"/>
  <c r="X104" i="1" s="1"/>
  <c r="M104" i="1"/>
  <c r="L104" i="1"/>
  <c r="I104" i="1"/>
  <c r="H104" i="1"/>
  <c r="E104" i="1"/>
  <c r="D104" i="1"/>
  <c r="V103" i="1"/>
  <c r="S103" i="1"/>
  <c r="R103" i="1"/>
  <c r="Q103" i="1"/>
  <c r="P103" i="1"/>
  <c r="O103" i="1"/>
  <c r="N103" i="1"/>
  <c r="M103" i="1"/>
  <c r="K103" i="1"/>
  <c r="L103" i="1" s="1"/>
  <c r="I103" i="1"/>
  <c r="G103" i="1"/>
  <c r="H103" i="1" s="1"/>
  <c r="E103" i="1"/>
  <c r="C103" i="1"/>
  <c r="D103" i="1" s="1"/>
  <c r="V102" i="1"/>
  <c r="T102" i="1"/>
  <c r="S102" i="1"/>
  <c r="U102" i="1" s="1"/>
  <c r="R102" i="1"/>
  <c r="Q102" i="1"/>
  <c r="P102" i="1"/>
  <c r="O102" i="1"/>
  <c r="N102" i="1"/>
  <c r="N105" i="1" s="1"/>
  <c r="P105" i="1" s="1"/>
  <c r="M102" i="1"/>
  <c r="L102" i="1"/>
  <c r="K102" i="1"/>
  <c r="K105" i="1" s="1"/>
  <c r="M105" i="1" s="1"/>
  <c r="I102" i="1"/>
  <c r="G102" i="1"/>
  <c r="H102" i="1" s="1"/>
  <c r="E102" i="1"/>
  <c r="C102" i="1"/>
  <c r="W102" i="1" s="1"/>
  <c r="Y102" i="1" s="1"/>
  <c r="Y101" i="1"/>
  <c r="W101" i="1"/>
  <c r="V101" i="1"/>
  <c r="X101" i="1" s="1"/>
  <c r="U101" i="1"/>
  <c r="T101" i="1"/>
  <c r="Q101" i="1"/>
  <c r="P101" i="1"/>
  <c r="M101" i="1"/>
  <c r="L101" i="1"/>
  <c r="I101" i="1"/>
  <c r="H101" i="1"/>
  <c r="E101" i="1"/>
  <c r="D101" i="1"/>
  <c r="S100" i="1"/>
  <c r="O100" i="1"/>
  <c r="L100" i="1"/>
  <c r="I100" i="1"/>
  <c r="G100" i="1"/>
  <c r="F100" i="1"/>
  <c r="H100" i="1" s="1"/>
  <c r="C100" i="1"/>
  <c r="Y99" i="1"/>
  <c r="W99" i="1"/>
  <c r="U99" i="1"/>
  <c r="R99" i="1"/>
  <c r="T99" i="1" s="1"/>
  <c r="Q99" i="1"/>
  <c r="N99" i="1"/>
  <c r="P99" i="1" s="1"/>
  <c r="M99" i="1"/>
  <c r="J99" i="1"/>
  <c r="L99" i="1" s="1"/>
  <c r="I99" i="1"/>
  <c r="H99" i="1"/>
  <c r="E99" i="1"/>
  <c r="D99" i="1"/>
  <c r="B99" i="1"/>
  <c r="V99" i="1" s="1"/>
  <c r="X99" i="1" s="1"/>
  <c r="S98" i="1"/>
  <c r="R98" i="1"/>
  <c r="U98" i="1" s="1"/>
  <c r="O98" i="1"/>
  <c r="N98" i="1"/>
  <c r="M98" i="1"/>
  <c r="L98" i="1"/>
  <c r="K98" i="1"/>
  <c r="J98" i="1"/>
  <c r="I98" i="1"/>
  <c r="G98" i="1"/>
  <c r="H98" i="1" s="1"/>
  <c r="C98" i="1"/>
  <c r="B98" i="1"/>
  <c r="E98" i="1" s="1"/>
  <c r="U97" i="1"/>
  <c r="T97" i="1"/>
  <c r="S97" i="1"/>
  <c r="R97" i="1"/>
  <c r="Q97" i="1"/>
  <c r="O97" i="1"/>
  <c r="N97" i="1"/>
  <c r="L97" i="1"/>
  <c r="K97" i="1"/>
  <c r="K100" i="1" s="1"/>
  <c r="J97" i="1"/>
  <c r="J100" i="1" s="1"/>
  <c r="I97" i="1"/>
  <c r="H97" i="1"/>
  <c r="G97" i="1"/>
  <c r="E97" i="1"/>
  <c r="D97" i="1"/>
  <c r="C97" i="1"/>
  <c r="B97" i="1"/>
  <c r="B100" i="1" s="1"/>
  <c r="Y96" i="1"/>
  <c r="W96" i="1"/>
  <c r="V96" i="1"/>
  <c r="X96" i="1" s="1"/>
  <c r="U96" i="1"/>
  <c r="T96" i="1"/>
  <c r="Q96" i="1"/>
  <c r="P96" i="1"/>
  <c r="M96" i="1"/>
  <c r="L96" i="1"/>
  <c r="I96" i="1"/>
  <c r="H96" i="1"/>
  <c r="E96" i="1"/>
  <c r="D96" i="1"/>
  <c r="S95" i="1"/>
  <c r="R95" i="1"/>
  <c r="T95" i="1" s="1"/>
  <c r="O95" i="1"/>
  <c r="N95" i="1"/>
  <c r="J95" i="1"/>
  <c r="B95" i="1"/>
  <c r="Y94" i="1"/>
  <c r="W94" i="1"/>
  <c r="U94" i="1"/>
  <c r="T94" i="1"/>
  <c r="Q94" i="1"/>
  <c r="P94" i="1"/>
  <c r="M94" i="1"/>
  <c r="L94" i="1"/>
  <c r="I94" i="1"/>
  <c r="F94" i="1"/>
  <c r="H94" i="1" s="1"/>
  <c r="E94" i="1"/>
  <c r="D94" i="1"/>
  <c r="U93" i="1"/>
  <c r="S93" i="1"/>
  <c r="T93" i="1" s="1"/>
  <c r="Q93" i="1"/>
  <c r="O93" i="1"/>
  <c r="P93" i="1" s="1"/>
  <c r="M93" i="1"/>
  <c r="K93" i="1"/>
  <c r="L93" i="1" s="1"/>
  <c r="I93" i="1"/>
  <c r="G93" i="1"/>
  <c r="G95" i="1" s="1"/>
  <c r="F93" i="1"/>
  <c r="C93" i="1"/>
  <c r="W92" i="1"/>
  <c r="U92" i="1"/>
  <c r="T92" i="1"/>
  <c r="S92" i="1"/>
  <c r="Q92" i="1"/>
  <c r="P92" i="1"/>
  <c r="O92" i="1"/>
  <c r="L92" i="1"/>
  <c r="K92" i="1"/>
  <c r="M92" i="1" s="1"/>
  <c r="I92" i="1"/>
  <c r="H92" i="1"/>
  <c r="G92" i="1"/>
  <c r="F92" i="1"/>
  <c r="V92" i="1" s="1"/>
  <c r="X92" i="1" s="1"/>
  <c r="E92" i="1"/>
  <c r="C92" i="1"/>
  <c r="D92" i="1" s="1"/>
  <c r="Y91" i="1"/>
  <c r="W91" i="1"/>
  <c r="V91" i="1"/>
  <c r="X91" i="1" s="1"/>
  <c r="U91" i="1"/>
  <c r="T91" i="1"/>
  <c r="Q91" i="1"/>
  <c r="P91" i="1"/>
  <c r="M91" i="1"/>
  <c r="L91" i="1"/>
  <c r="I91" i="1"/>
  <c r="H91" i="1"/>
  <c r="E91" i="1"/>
  <c r="D91" i="1"/>
  <c r="S90" i="1"/>
  <c r="R90" i="1"/>
  <c r="O90" i="1"/>
  <c r="N90" i="1"/>
  <c r="L90" i="1"/>
  <c r="J90" i="1"/>
  <c r="F90" i="1"/>
  <c r="C90" i="1"/>
  <c r="X89" i="1"/>
  <c r="W89" i="1"/>
  <c r="Y89" i="1" s="1"/>
  <c r="V89" i="1"/>
  <c r="U89" i="1"/>
  <c r="T89" i="1"/>
  <c r="Q89" i="1"/>
  <c r="P89" i="1"/>
  <c r="M89" i="1"/>
  <c r="L89" i="1"/>
  <c r="I89" i="1"/>
  <c r="H89" i="1"/>
  <c r="E89" i="1"/>
  <c r="D89" i="1"/>
  <c r="B89" i="1"/>
  <c r="U88" i="1"/>
  <c r="S88" i="1"/>
  <c r="T88" i="1" s="1"/>
  <c r="Q88" i="1"/>
  <c r="P88" i="1"/>
  <c r="O88" i="1"/>
  <c r="M88" i="1"/>
  <c r="K88" i="1"/>
  <c r="L88" i="1" s="1"/>
  <c r="I88" i="1"/>
  <c r="G88" i="1"/>
  <c r="H88" i="1" s="1"/>
  <c r="E88" i="1"/>
  <c r="C88" i="1"/>
  <c r="W88" i="1" s="1"/>
  <c r="B88" i="1"/>
  <c r="W87" i="1"/>
  <c r="U87" i="1"/>
  <c r="T87" i="1"/>
  <c r="S87" i="1"/>
  <c r="Q87" i="1"/>
  <c r="P87" i="1"/>
  <c r="O87" i="1"/>
  <c r="M87" i="1"/>
  <c r="L87" i="1"/>
  <c r="K87" i="1"/>
  <c r="K90" i="1" s="1"/>
  <c r="M90" i="1" s="1"/>
  <c r="H87" i="1"/>
  <c r="G87" i="1"/>
  <c r="I87" i="1" s="1"/>
  <c r="E87" i="1"/>
  <c r="D87" i="1"/>
  <c r="C87" i="1"/>
  <c r="B87" i="1"/>
  <c r="B90" i="1" s="1"/>
  <c r="Y86" i="1"/>
  <c r="W86" i="1"/>
  <c r="V86" i="1"/>
  <c r="X86" i="1" s="1"/>
  <c r="U86" i="1"/>
  <c r="T86" i="1"/>
  <c r="Q86" i="1"/>
  <c r="P86" i="1"/>
  <c r="M86" i="1"/>
  <c r="L86" i="1"/>
  <c r="I86" i="1"/>
  <c r="H86" i="1"/>
  <c r="E86" i="1"/>
  <c r="D86" i="1"/>
  <c r="S85" i="1"/>
  <c r="R85" i="1"/>
  <c r="T85" i="1" s="1"/>
  <c r="O85" i="1"/>
  <c r="N85" i="1"/>
  <c r="J85" i="1"/>
  <c r="F85" i="1"/>
  <c r="C85" i="1"/>
  <c r="Y84" i="1"/>
  <c r="W84" i="1"/>
  <c r="U84" i="1"/>
  <c r="T84" i="1"/>
  <c r="Q84" i="1"/>
  <c r="P84" i="1"/>
  <c r="M84" i="1"/>
  <c r="L84" i="1"/>
  <c r="I84" i="1"/>
  <c r="H84" i="1"/>
  <c r="E84" i="1"/>
  <c r="D84" i="1"/>
  <c r="B84" i="1"/>
  <c r="V84" i="1" s="1"/>
  <c r="X84" i="1" s="1"/>
  <c r="U83" i="1"/>
  <c r="S83" i="1"/>
  <c r="T83" i="1" s="1"/>
  <c r="Q83" i="1"/>
  <c r="O83" i="1"/>
  <c r="P83" i="1" s="1"/>
  <c r="M83" i="1"/>
  <c r="L83" i="1"/>
  <c r="K83" i="1"/>
  <c r="I83" i="1"/>
  <c r="G83" i="1"/>
  <c r="H83" i="1" s="1"/>
  <c r="E83" i="1"/>
  <c r="C83" i="1"/>
  <c r="W83" i="1" s="1"/>
  <c r="B83" i="1"/>
  <c r="W82" i="1"/>
  <c r="U82" i="1"/>
  <c r="T82" i="1"/>
  <c r="S82" i="1"/>
  <c r="Q82" i="1"/>
  <c r="P82" i="1"/>
  <c r="O82" i="1"/>
  <c r="M82" i="1"/>
  <c r="L82" i="1"/>
  <c r="K82" i="1"/>
  <c r="K85" i="1" s="1"/>
  <c r="M85" i="1" s="1"/>
  <c r="I82" i="1"/>
  <c r="H82" i="1"/>
  <c r="G82" i="1"/>
  <c r="D82" i="1"/>
  <c r="C82" i="1"/>
  <c r="B82" i="1"/>
  <c r="Y81" i="1"/>
  <c r="W81" i="1"/>
  <c r="V81" i="1"/>
  <c r="X81" i="1" s="1"/>
  <c r="U81" i="1"/>
  <c r="T81" i="1"/>
  <c r="Q81" i="1"/>
  <c r="P81" i="1"/>
  <c r="M81" i="1"/>
  <c r="L81" i="1"/>
  <c r="I81" i="1"/>
  <c r="H81" i="1"/>
  <c r="E81" i="1"/>
  <c r="D81" i="1"/>
  <c r="R80" i="1"/>
  <c r="O80" i="1"/>
  <c r="G80" i="1"/>
  <c r="F80" i="1"/>
  <c r="H80" i="1" s="1"/>
  <c r="C80" i="1"/>
  <c r="Y79" i="1"/>
  <c r="W79" i="1"/>
  <c r="U79" i="1"/>
  <c r="R79" i="1"/>
  <c r="T79" i="1" s="1"/>
  <c r="Q79" i="1"/>
  <c r="N79" i="1"/>
  <c r="P79" i="1" s="1"/>
  <c r="M79" i="1"/>
  <c r="J79" i="1"/>
  <c r="L79" i="1" s="1"/>
  <c r="I79" i="1"/>
  <c r="F79" i="1"/>
  <c r="H79" i="1" s="1"/>
  <c r="E79" i="1"/>
  <c r="B79" i="1"/>
  <c r="S78" i="1"/>
  <c r="R78" i="1"/>
  <c r="P78" i="1"/>
  <c r="O78" i="1"/>
  <c r="N78" i="1"/>
  <c r="Q78" i="1" s="1"/>
  <c r="K78" i="1"/>
  <c r="J78" i="1"/>
  <c r="L78" i="1" s="1"/>
  <c r="G78" i="1"/>
  <c r="F78" i="1"/>
  <c r="C78" i="1"/>
  <c r="B78" i="1"/>
  <c r="E78" i="1" s="1"/>
  <c r="V77" i="1"/>
  <c r="S77" i="1"/>
  <c r="R77" i="1"/>
  <c r="Q77" i="1"/>
  <c r="P77" i="1"/>
  <c r="O77" i="1"/>
  <c r="N77" i="1"/>
  <c r="M77" i="1"/>
  <c r="K77" i="1"/>
  <c r="K80" i="1" s="1"/>
  <c r="J77" i="1"/>
  <c r="G77" i="1"/>
  <c r="F77" i="1"/>
  <c r="E77" i="1"/>
  <c r="C77" i="1"/>
  <c r="B77" i="1"/>
  <c r="B80" i="1" s="1"/>
  <c r="Y76" i="1"/>
  <c r="W76" i="1"/>
  <c r="V76" i="1"/>
  <c r="X76" i="1" s="1"/>
  <c r="U76" i="1"/>
  <c r="T76" i="1"/>
  <c r="Q76" i="1"/>
  <c r="P76" i="1"/>
  <c r="M76" i="1"/>
  <c r="L76" i="1"/>
  <c r="I76" i="1"/>
  <c r="H76" i="1"/>
  <c r="E76" i="1"/>
  <c r="D76" i="1"/>
  <c r="R75" i="1"/>
  <c r="O75" i="1"/>
  <c r="Q75" i="1" s="1"/>
  <c r="N75" i="1"/>
  <c r="L75" i="1"/>
  <c r="J75" i="1"/>
  <c r="G75" i="1"/>
  <c r="F75" i="1"/>
  <c r="H75" i="1" s="1"/>
  <c r="C75" i="1"/>
  <c r="Y74" i="1"/>
  <c r="X74" i="1"/>
  <c r="W74" i="1"/>
  <c r="V74" i="1"/>
  <c r="U74" i="1"/>
  <c r="T74" i="1"/>
  <c r="Q74" i="1"/>
  <c r="P74" i="1"/>
  <c r="M74" i="1"/>
  <c r="L74" i="1"/>
  <c r="I74" i="1"/>
  <c r="H74" i="1"/>
  <c r="E74" i="1"/>
  <c r="D74" i="1"/>
  <c r="B74" i="1"/>
  <c r="V73" i="1"/>
  <c r="U73" i="1"/>
  <c r="S73" i="1"/>
  <c r="T73" i="1" s="1"/>
  <c r="Q73" i="1"/>
  <c r="O73" i="1"/>
  <c r="P73" i="1" s="1"/>
  <c r="M73" i="1"/>
  <c r="K73" i="1"/>
  <c r="L73" i="1" s="1"/>
  <c r="I73" i="1"/>
  <c r="G73" i="1"/>
  <c r="H73" i="1" s="1"/>
  <c r="E73" i="1"/>
  <c r="C73" i="1"/>
  <c r="B73" i="1"/>
  <c r="D73" i="1" s="1"/>
  <c r="W72" i="1"/>
  <c r="U72" i="1"/>
  <c r="T72" i="1"/>
  <c r="S72" i="1"/>
  <c r="Q72" i="1"/>
  <c r="P72" i="1"/>
  <c r="O72" i="1"/>
  <c r="M72" i="1"/>
  <c r="L72" i="1"/>
  <c r="K72" i="1"/>
  <c r="K75" i="1" s="1"/>
  <c r="M75" i="1" s="1"/>
  <c r="I72" i="1"/>
  <c r="H72" i="1"/>
  <c r="G72" i="1"/>
  <c r="D72" i="1"/>
  <c r="C72" i="1"/>
  <c r="B72" i="1"/>
  <c r="W71" i="1"/>
  <c r="Y71" i="1" s="1"/>
  <c r="V71" i="1"/>
  <c r="U71" i="1"/>
  <c r="T71" i="1"/>
  <c r="Q71" i="1"/>
  <c r="P71" i="1"/>
  <c r="M71" i="1"/>
  <c r="L71" i="1"/>
  <c r="I71" i="1"/>
  <c r="H71" i="1"/>
  <c r="E71" i="1"/>
  <c r="D71" i="1"/>
  <c r="O70" i="1"/>
  <c r="G70" i="1"/>
  <c r="I70" i="1" s="1"/>
  <c r="F70" i="1"/>
  <c r="D70" i="1"/>
  <c r="C70" i="1"/>
  <c r="Y69" i="1"/>
  <c r="W69" i="1"/>
  <c r="U69" i="1"/>
  <c r="R69" i="1"/>
  <c r="T69" i="1" s="1"/>
  <c r="Q69" i="1"/>
  <c r="N69" i="1"/>
  <c r="P69" i="1" s="1"/>
  <c r="M69" i="1"/>
  <c r="J69" i="1"/>
  <c r="L69" i="1" s="1"/>
  <c r="I69" i="1"/>
  <c r="F69" i="1"/>
  <c r="H69" i="1" s="1"/>
  <c r="E69" i="1"/>
  <c r="B69" i="1"/>
  <c r="D69" i="1" s="1"/>
  <c r="S68" i="1"/>
  <c r="U68" i="1" s="1"/>
  <c r="R68" i="1"/>
  <c r="Q68" i="1"/>
  <c r="P68" i="1"/>
  <c r="O68" i="1"/>
  <c r="N68" i="1"/>
  <c r="K68" i="1"/>
  <c r="M68" i="1" s="1"/>
  <c r="J68" i="1"/>
  <c r="L68" i="1" s="1"/>
  <c r="G68" i="1"/>
  <c r="I68" i="1" s="1"/>
  <c r="F68" i="1"/>
  <c r="E68" i="1"/>
  <c r="C68" i="1"/>
  <c r="B68" i="1"/>
  <c r="V68" i="1" s="1"/>
  <c r="S67" i="1"/>
  <c r="U67" i="1" s="1"/>
  <c r="R67" i="1"/>
  <c r="P67" i="1"/>
  <c r="O67" i="1"/>
  <c r="N67" i="1"/>
  <c r="N70" i="1" s="1"/>
  <c r="P70" i="1" s="1"/>
  <c r="K67" i="1"/>
  <c r="K70" i="1" s="1"/>
  <c r="J67" i="1"/>
  <c r="H67" i="1"/>
  <c r="G67" i="1"/>
  <c r="I67" i="1" s="1"/>
  <c r="F67" i="1"/>
  <c r="C67" i="1"/>
  <c r="B67" i="1"/>
  <c r="B70" i="1" s="1"/>
  <c r="Y66" i="1"/>
  <c r="W66" i="1"/>
  <c r="V66" i="1"/>
  <c r="X66" i="1" s="1"/>
  <c r="U66" i="1"/>
  <c r="T66" i="1"/>
  <c r="Q66" i="1"/>
  <c r="P66" i="1"/>
  <c r="M66" i="1"/>
  <c r="L66" i="1"/>
  <c r="I66" i="1"/>
  <c r="H66" i="1"/>
  <c r="E66" i="1"/>
  <c r="D66" i="1"/>
  <c r="O65" i="1"/>
  <c r="G65" i="1"/>
  <c r="C65" i="1"/>
  <c r="Y64" i="1"/>
  <c r="W64" i="1"/>
  <c r="U64" i="1"/>
  <c r="R64" i="1"/>
  <c r="T64" i="1" s="1"/>
  <c r="Q64" i="1"/>
  <c r="N64" i="1"/>
  <c r="P64" i="1" s="1"/>
  <c r="M64" i="1"/>
  <c r="J64" i="1"/>
  <c r="L64" i="1" s="1"/>
  <c r="I64" i="1"/>
  <c r="F64" i="1"/>
  <c r="H64" i="1" s="1"/>
  <c r="E64" i="1"/>
  <c r="B64" i="1"/>
  <c r="D64" i="1" s="1"/>
  <c r="S63" i="1"/>
  <c r="U63" i="1" s="1"/>
  <c r="R63" i="1"/>
  <c r="O63" i="1"/>
  <c r="N63" i="1"/>
  <c r="Q63" i="1" s="1"/>
  <c r="K63" i="1"/>
  <c r="M63" i="1" s="1"/>
  <c r="J63" i="1"/>
  <c r="L63" i="1" s="1"/>
  <c r="H63" i="1"/>
  <c r="G63" i="1"/>
  <c r="I63" i="1" s="1"/>
  <c r="F63" i="1"/>
  <c r="D63" i="1"/>
  <c r="C63" i="1"/>
  <c r="B63" i="1"/>
  <c r="E63" i="1" s="1"/>
  <c r="W62" i="1"/>
  <c r="S62" i="1"/>
  <c r="U62" i="1" s="1"/>
  <c r="R62" i="1"/>
  <c r="O62" i="1"/>
  <c r="N62" i="1"/>
  <c r="N65" i="1" s="1"/>
  <c r="P65" i="1" s="1"/>
  <c r="K62" i="1"/>
  <c r="K65" i="1" s="1"/>
  <c r="J62" i="1"/>
  <c r="H62" i="1"/>
  <c r="G62" i="1"/>
  <c r="I62" i="1" s="1"/>
  <c r="F62" i="1"/>
  <c r="E62" i="1"/>
  <c r="D62" i="1"/>
  <c r="C62" i="1"/>
  <c r="B62" i="1"/>
  <c r="W61" i="1"/>
  <c r="Y61" i="1" s="1"/>
  <c r="V61" i="1"/>
  <c r="U61" i="1"/>
  <c r="T61" i="1"/>
  <c r="Q61" i="1"/>
  <c r="P61" i="1"/>
  <c r="M61" i="1"/>
  <c r="L61" i="1"/>
  <c r="I61" i="1"/>
  <c r="H61" i="1"/>
  <c r="E61" i="1"/>
  <c r="D61" i="1"/>
  <c r="S60" i="1"/>
  <c r="U60" i="1" s="1"/>
  <c r="R60" i="1"/>
  <c r="O60" i="1"/>
  <c r="G60" i="1"/>
  <c r="C60" i="1"/>
  <c r="Y59" i="1"/>
  <c r="W59" i="1"/>
  <c r="U59" i="1"/>
  <c r="R59" i="1"/>
  <c r="T59" i="1" s="1"/>
  <c r="Q59" i="1"/>
  <c r="N59" i="1"/>
  <c r="P59" i="1" s="1"/>
  <c r="M59" i="1"/>
  <c r="J59" i="1"/>
  <c r="L59" i="1" s="1"/>
  <c r="I59" i="1"/>
  <c r="F59" i="1"/>
  <c r="H59" i="1" s="1"/>
  <c r="E59" i="1"/>
  <c r="B59" i="1"/>
  <c r="D59" i="1" s="1"/>
  <c r="S58" i="1"/>
  <c r="U58" i="1" s="1"/>
  <c r="R58" i="1"/>
  <c r="Q58" i="1"/>
  <c r="O58" i="1"/>
  <c r="N58" i="1"/>
  <c r="P58" i="1" s="1"/>
  <c r="M58" i="1"/>
  <c r="K58" i="1"/>
  <c r="W58" i="1" s="1"/>
  <c r="J58" i="1"/>
  <c r="H58" i="1"/>
  <c r="G58" i="1"/>
  <c r="I58" i="1" s="1"/>
  <c r="F58" i="1"/>
  <c r="D58" i="1"/>
  <c r="C58" i="1"/>
  <c r="B58" i="1"/>
  <c r="V58" i="1" s="1"/>
  <c r="X58" i="1" s="1"/>
  <c r="V57" i="1"/>
  <c r="T57" i="1"/>
  <c r="S57" i="1"/>
  <c r="U57" i="1" s="1"/>
  <c r="R57" i="1"/>
  <c r="O57" i="1"/>
  <c r="N57" i="1"/>
  <c r="N60" i="1" s="1"/>
  <c r="P60" i="1" s="1"/>
  <c r="M57" i="1"/>
  <c r="K57" i="1"/>
  <c r="K60" i="1" s="1"/>
  <c r="J57" i="1"/>
  <c r="L57" i="1" s="1"/>
  <c r="G57" i="1"/>
  <c r="I57" i="1" s="1"/>
  <c r="F57" i="1"/>
  <c r="D57" i="1"/>
  <c r="C57" i="1"/>
  <c r="B57" i="1"/>
  <c r="W56" i="1"/>
  <c r="Y56" i="1" s="1"/>
  <c r="V56" i="1"/>
  <c r="X56" i="1" s="1"/>
  <c r="U56" i="1"/>
  <c r="T56" i="1"/>
  <c r="Q56" i="1"/>
  <c r="P56" i="1"/>
  <c r="M56" i="1"/>
  <c r="L56" i="1"/>
  <c r="I56" i="1"/>
  <c r="H56" i="1"/>
  <c r="E56" i="1"/>
  <c r="D56" i="1"/>
  <c r="R55" i="1"/>
  <c r="O55" i="1"/>
  <c r="G55" i="1"/>
  <c r="I55" i="1" s="1"/>
  <c r="F55" i="1"/>
  <c r="H55" i="1" s="1"/>
  <c r="C55" i="1"/>
  <c r="Y54" i="1"/>
  <c r="W54" i="1"/>
  <c r="U54" i="1"/>
  <c r="R54" i="1"/>
  <c r="T54" i="1" s="1"/>
  <c r="Q54" i="1"/>
  <c r="N54" i="1"/>
  <c r="P54" i="1" s="1"/>
  <c r="M54" i="1"/>
  <c r="J54" i="1"/>
  <c r="L54" i="1" s="1"/>
  <c r="I54" i="1"/>
  <c r="F54" i="1"/>
  <c r="H54" i="1" s="1"/>
  <c r="E54" i="1"/>
  <c r="B54" i="1"/>
  <c r="D54" i="1" s="1"/>
  <c r="S53" i="1"/>
  <c r="U53" i="1" s="1"/>
  <c r="R53" i="1"/>
  <c r="P53" i="1"/>
  <c r="O53" i="1"/>
  <c r="N53" i="1"/>
  <c r="Q53" i="1" s="1"/>
  <c r="K53" i="1"/>
  <c r="M53" i="1" s="1"/>
  <c r="J53" i="1"/>
  <c r="G53" i="1"/>
  <c r="I53" i="1" s="1"/>
  <c r="F53" i="1"/>
  <c r="C53" i="1"/>
  <c r="B53" i="1"/>
  <c r="T52" i="1"/>
  <c r="S52" i="1"/>
  <c r="U52" i="1" s="1"/>
  <c r="R52" i="1"/>
  <c r="Q52" i="1"/>
  <c r="O52" i="1"/>
  <c r="N52" i="1"/>
  <c r="K52" i="1"/>
  <c r="J52" i="1"/>
  <c r="V52" i="1" s="1"/>
  <c r="H52" i="1"/>
  <c r="G52" i="1"/>
  <c r="I52" i="1" s="1"/>
  <c r="F52" i="1"/>
  <c r="E52" i="1"/>
  <c r="D52" i="1"/>
  <c r="C52" i="1"/>
  <c r="B52" i="1"/>
  <c r="Y51" i="1"/>
  <c r="W51" i="1"/>
  <c r="V51" i="1"/>
  <c r="X51" i="1" s="1"/>
  <c r="U51" i="1"/>
  <c r="T51" i="1"/>
  <c r="Q51" i="1"/>
  <c r="P51" i="1"/>
  <c r="M51" i="1"/>
  <c r="L51" i="1"/>
  <c r="I51" i="1"/>
  <c r="H51" i="1"/>
  <c r="E51" i="1"/>
  <c r="D51" i="1"/>
  <c r="R50" i="1"/>
  <c r="O50" i="1"/>
  <c r="F50" i="1"/>
  <c r="C50" i="1"/>
  <c r="Y49" i="1"/>
  <c r="W49" i="1"/>
  <c r="U49" i="1"/>
  <c r="R49" i="1"/>
  <c r="T49" i="1" s="1"/>
  <c r="Q49" i="1"/>
  <c r="N49" i="1"/>
  <c r="P49" i="1" s="1"/>
  <c r="M49" i="1"/>
  <c r="J49" i="1"/>
  <c r="L49" i="1" s="1"/>
  <c r="I49" i="1"/>
  <c r="F49" i="1"/>
  <c r="H49" i="1" s="1"/>
  <c r="E49" i="1"/>
  <c r="B49" i="1"/>
  <c r="D49" i="1" s="1"/>
  <c r="S48" i="1"/>
  <c r="U48" i="1" s="1"/>
  <c r="R48" i="1"/>
  <c r="P48" i="1"/>
  <c r="O48" i="1"/>
  <c r="N48" i="1"/>
  <c r="Q48" i="1" s="1"/>
  <c r="M48" i="1"/>
  <c r="K48" i="1"/>
  <c r="W48" i="1" s="1"/>
  <c r="Y48" i="1" s="1"/>
  <c r="J48" i="1"/>
  <c r="L48" i="1" s="1"/>
  <c r="H48" i="1"/>
  <c r="G48" i="1"/>
  <c r="I48" i="1" s="1"/>
  <c r="F48" i="1"/>
  <c r="C48" i="1"/>
  <c r="B48" i="1"/>
  <c r="V48" i="1" s="1"/>
  <c r="S47" i="1"/>
  <c r="U47" i="1" s="1"/>
  <c r="R47" i="1"/>
  <c r="Q47" i="1"/>
  <c r="O47" i="1"/>
  <c r="N47" i="1"/>
  <c r="K47" i="1"/>
  <c r="K50" i="1" s="1"/>
  <c r="J47" i="1"/>
  <c r="G47" i="1"/>
  <c r="I47" i="1" s="1"/>
  <c r="F47" i="1"/>
  <c r="E47" i="1"/>
  <c r="D47" i="1"/>
  <c r="C47" i="1"/>
  <c r="B47" i="1"/>
  <c r="W46" i="1"/>
  <c r="Y46" i="1" s="1"/>
  <c r="V46" i="1"/>
  <c r="U46" i="1"/>
  <c r="T46" i="1"/>
  <c r="Q46" i="1"/>
  <c r="P46" i="1"/>
  <c r="M46" i="1"/>
  <c r="L46" i="1"/>
  <c r="I46" i="1"/>
  <c r="H46" i="1"/>
  <c r="E46" i="1"/>
  <c r="D46" i="1"/>
  <c r="R45" i="1"/>
  <c r="O45" i="1"/>
  <c r="C45" i="1"/>
  <c r="Y44" i="1"/>
  <c r="W44" i="1"/>
  <c r="V44" i="1"/>
  <c r="X44" i="1" s="1"/>
  <c r="U44" i="1"/>
  <c r="R44" i="1"/>
  <c r="T44" i="1" s="1"/>
  <c r="Q44" i="1"/>
  <c r="N44" i="1"/>
  <c r="P44" i="1" s="1"/>
  <c r="M44" i="1"/>
  <c r="J44" i="1"/>
  <c r="L44" i="1" s="1"/>
  <c r="I44" i="1"/>
  <c r="F44" i="1"/>
  <c r="E44" i="1"/>
  <c r="B44" i="1"/>
  <c r="D44" i="1" s="1"/>
  <c r="W43" i="1"/>
  <c r="S43" i="1"/>
  <c r="U43" i="1" s="1"/>
  <c r="R43" i="1"/>
  <c r="O43" i="1"/>
  <c r="N43" i="1"/>
  <c r="K43" i="1"/>
  <c r="M43" i="1" s="1"/>
  <c r="J43" i="1"/>
  <c r="H43" i="1"/>
  <c r="G43" i="1"/>
  <c r="I43" i="1" s="1"/>
  <c r="F43" i="1"/>
  <c r="E43" i="1"/>
  <c r="C43" i="1"/>
  <c r="B43" i="1"/>
  <c r="V43" i="1" s="1"/>
  <c r="X43" i="1" s="1"/>
  <c r="W42" i="1"/>
  <c r="T42" i="1"/>
  <c r="S42" i="1"/>
  <c r="U42" i="1" s="1"/>
  <c r="R42" i="1"/>
  <c r="Q42" i="1"/>
  <c r="P42" i="1"/>
  <c r="O42" i="1"/>
  <c r="N42" i="1"/>
  <c r="K42" i="1"/>
  <c r="J42" i="1"/>
  <c r="L42" i="1" s="1"/>
  <c r="H42" i="1"/>
  <c r="G42" i="1"/>
  <c r="I42" i="1" s="1"/>
  <c r="F42" i="1"/>
  <c r="E42" i="1"/>
  <c r="D42" i="1"/>
  <c r="C42" i="1"/>
  <c r="B42" i="1"/>
  <c r="Y41" i="1"/>
  <c r="W41" i="1"/>
  <c r="V41" i="1"/>
  <c r="X41" i="1" s="1"/>
  <c r="U41" i="1"/>
  <c r="T41" i="1"/>
  <c r="Q41" i="1"/>
  <c r="P41" i="1"/>
  <c r="M41" i="1"/>
  <c r="L41" i="1"/>
  <c r="I41" i="1"/>
  <c r="H41" i="1"/>
  <c r="E41" i="1"/>
  <c r="D41" i="1"/>
  <c r="S40" i="1"/>
  <c r="M40" i="1"/>
  <c r="C40" i="1"/>
  <c r="W39" i="1"/>
  <c r="Y39" i="1" s="1"/>
  <c r="U39" i="1"/>
  <c r="R39" i="1"/>
  <c r="T39" i="1" s="1"/>
  <c r="Q39" i="1"/>
  <c r="N39" i="1"/>
  <c r="P39" i="1" s="1"/>
  <c r="M39" i="1"/>
  <c r="J39" i="1"/>
  <c r="L39" i="1" s="1"/>
  <c r="I39" i="1"/>
  <c r="H39" i="1"/>
  <c r="F39" i="1"/>
  <c r="E39" i="1"/>
  <c r="B39" i="1"/>
  <c r="S38" i="1"/>
  <c r="R38" i="1"/>
  <c r="T38" i="1" s="1"/>
  <c r="P38" i="1"/>
  <c r="O38" i="1"/>
  <c r="Q38" i="1" s="1"/>
  <c r="N38" i="1"/>
  <c r="K38" i="1"/>
  <c r="M38" i="1" s="1"/>
  <c r="J38" i="1"/>
  <c r="L38" i="1" s="1"/>
  <c r="G38" i="1"/>
  <c r="I38" i="1" s="1"/>
  <c r="F38" i="1"/>
  <c r="H38" i="1" s="1"/>
  <c r="C38" i="1"/>
  <c r="W38" i="1" s="1"/>
  <c r="B38" i="1"/>
  <c r="D38" i="1" s="1"/>
  <c r="S37" i="1"/>
  <c r="R37" i="1"/>
  <c r="P37" i="1"/>
  <c r="O37" i="1"/>
  <c r="Q37" i="1" s="1"/>
  <c r="N37" i="1"/>
  <c r="N40" i="1" s="1"/>
  <c r="K37" i="1"/>
  <c r="K40" i="1" s="1"/>
  <c r="J37" i="1"/>
  <c r="J40" i="1" s="1"/>
  <c r="L40" i="1" s="1"/>
  <c r="G37" i="1"/>
  <c r="G40" i="1" s="1"/>
  <c r="F37" i="1"/>
  <c r="C37" i="1"/>
  <c r="W37" i="1" s="1"/>
  <c r="B37" i="1"/>
  <c r="D37" i="1" s="1"/>
  <c r="W36" i="1"/>
  <c r="Y36" i="1" s="1"/>
  <c r="V36" i="1"/>
  <c r="X36" i="1" s="1"/>
  <c r="U36" i="1"/>
  <c r="T36" i="1"/>
  <c r="Q36" i="1"/>
  <c r="P36" i="1"/>
  <c r="M36" i="1"/>
  <c r="L36" i="1"/>
  <c r="I36" i="1"/>
  <c r="H36" i="1"/>
  <c r="E36" i="1"/>
  <c r="D36" i="1"/>
  <c r="R35" i="1"/>
  <c r="T35" i="1" s="1"/>
  <c r="H35" i="1"/>
  <c r="F35" i="1"/>
  <c r="D35" i="1"/>
  <c r="W34" i="1"/>
  <c r="Y34" i="1" s="1"/>
  <c r="U34" i="1"/>
  <c r="T34" i="1"/>
  <c r="R34" i="1"/>
  <c r="Q34" i="1"/>
  <c r="N34" i="1"/>
  <c r="P34" i="1" s="1"/>
  <c r="M34" i="1"/>
  <c r="J34" i="1"/>
  <c r="L34" i="1" s="1"/>
  <c r="I34" i="1"/>
  <c r="H34" i="1"/>
  <c r="F34" i="1"/>
  <c r="E34" i="1"/>
  <c r="D34" i="1"/>
  <c r="B34" i="1"/>
  <c r="S33" i="1"/>
  <c r="U33" i="1" s="1"/>
  <c r="R33" i="1"/>
  <c r="T33" i="1" s="1"/>
  <c r="O33" i="1"/>
  <c r="N33" i="1"/>
  <c r="K33" i="1"/>
  <c r="L33" i="1" s="1"/>
  <c r="G33" i="1"/>
  <c r="I33" i="1" s="1"/>
  <c r="C33" i="1"/>
  <c r="E33" i="1" s="1"/>
  <c r="B33" i="1"/>
  <c r="V33" i="1" s="1"/>
  <c r="U32" i="1"/>
  <c r="S32" i="1"/>
  <c r="S35" i="1" s="1"/>
  <c r="R32" i="1"/>
  <c r="T32" i="1" s="1"/>
  <c r="O32" i="1"/>
  <c r="N32" i="1"/>
  <c r="N35" i="1" s="1"/>
  <c r="K32" i="1"/>
  <c r="H32" i="1"/>
  <c r="G32" i="1"/>
  <c r="G35" i="1" s="1"/>
  <c r="I35" i="1" s="1"/>
  <c r="C32" i="1"/>
  <c r="C35" i="1" s="1"/>
  <c r="B32" i="1"/>
  <c r="B35" i="1" s="1"/>
  <c r="W31" i="1"/>
  <c r="V31" i="1"/>
  <c r="U31" i="1"/>
  <c r="T31" i="1"/>
  <c r="Q31" i="1"/>
  <c r="P31" i="1"/>
  <c r="M31" i="1"/>
  <c r="L31" i="1"/>
  <c r="I31" i="1"/>
  <c r="H31" i="1"/>
  <c r="E31" i="1"/>
  <c r="D31" i="1"/>
  <c r="N30" i="1"/>
  <c r="K30" i="1"/>
  <c r="B30" i="1"/>
  <c r="W29" i="1"/>
  <c r="Y29" i="1" s="1"/>
  <c r="U29" i="1"/>
  <c r="R29" i="1"/>
  <c r="T29" i="1" s="1"/>
  <c r="Q29" i="1"/>
  <c r="N29" i="1"/>
  <c r="P29" i="1" s="1"/>
  <c r="M29" i="1"/>
  <c r="J29" i="1"/>
  <c r="L29" i="1" s="1"/>
  <c r="I29" i="1"/>
  <c r="H29" i="1"/>
  <c r="F29" i="1"/>
  <c r="E29" i="1"/>
  <c r="B29" i="1"/>
  <c r="D29" i="1" s="1"/>
  <c r="T28" i="1"/>
  <c r="S28" i="1"/>
  <c r="R28" i="1"/>
  <c r="U28" i="1" s="1"/>
  <c r="P28" i="1"/>
  <c r="O28" i="1"/>
  <c r="Q28" i="1" s="1"/>
  <c r="N28" i="1"/>
  <c r="K28" i="1"/>
  <c r="J28" i="1"/>
  <c r="M28" i="1" s="1"/>
  <c r="H28" i="1"/>
  <c r="G28" i="1"/>
  <c r="F28" i="1"/>
  <c r="I28" i="1" s="1"/>
  <c r="D28" i="1"/>
  <c r="C28" i="1"/>
  <c r="W28" i="1" s="1"/>
  <c r="B28" i="1"/>
  <c r="S27" i="1"/>
  <c r="S30" i="1" s="1"/>
  <c r="R27" i="1"/>
  <c r="P27" i="1"/>
  <c r="O27" i="1"/>
  <c r="O30" i="1" s="1"/>
  <c r="Q30" i="1" s="1"/>
  <c r="N27" i="1"/>
  <c r="K27" i="1"/>
  <c r="M27" i="1" s="1"/>
  <c r="J27" i="1"/>
  <c r="L27" i="1" s="1"/>
  <c r="H27" i="1"/>
  <c r="G27" i="1"/>
  <c r="G30" i="1" s="1"/>
  <c r="F27" i="1"/>
  <c r="D27" i="1"/>
  <c r="C27" i="1"/>
  <c r="W27" i="1" s="1"/>
  <c r="B27" i="1"/>
  <c r="W26" i="1"/>
  <c r="Y26" i="1" s="1"/>
  <c r="V26" i="1"/>
  <c r="X26" i="1" s="1"/>
  <c r="U26" i="1"/>
  <c r="T26" i="1"/>
  <c r="Q26" i="1"/>
  <c r="P26" i="1"/>
  <c r="M26" i="1"/>
  <c r="L26" i="1"/>
  <c r="I26" i="1"/>
  <c r="H26" i="1"/>
  <c r="E26" i="1"/>
  <c r="D26" i="1"/>
  <c r="R25" i="1"/>
  <c r="K25" i="1"/>
  <c r="J25" i="1"/>
  <c r="L25" i="1" s="1"/>
  <c r="W24" i="1"/>
  <c r="Y24" i="1" s="1"/>
  <c r="U24" i="1"/>
  <c r="T24" i="1"/>
  <c r="R24" i="1"/>
  <c r="Q24" i="1"/>
  <c r="N24" i="1"/>
  <c r="P24" i="1" s="1"/>
  <c r="M24" i="1"/>
  <c r="L24" i="1"/>
  <c r="J24" i="1"/>
  <c r="I24" i="1"/>
  <c r="F24" i="1"/>
  <c r="H24" i="1" s="1"/>
  <c r="E24" i="1"/>
  <c r="D24" i="1"/>
  <c r="B24" i="1"/>
  <c r="S23" i="1"/>
  <c r="U23" i="1" s="1"/>
  <c r="R23" i="1"/>
  <c r="T23" i="1" s="1"/>
  <c r="O23" i="1"/>
  <c r="Q23" i="1" s="1"/>
  <c r="N23" i="1"/>
  <c r="P23" i="1" s="1"/>
  <c r="M23" i="1"/>
  <c r="K23" i="1"/>
  <c r="J23" i="1"/>
  <c r="L23" i="1" s="1"/>
  <c r="G23" i="1"/>
  <c r="I23" i="1" s="1"/>
  <c r="F23" i="1"/>
  <c r="H23" i="1" s="1"/>
  <c r="E23" i="1"/>
  <c r="C23" i="1"/>
  <c r="B23" i="1"/>
  <c r="V23" i="1" s="1"/>
  <c r="S22" i="1"/>
  <c r="U22" i="1" s="1"/>
  <c r="R22" i="1"/>
  <c r="T22" i="1" s="1"/>
  <c r="O22" i="1"/>
  <c r="O25" i="1" s="1"/>
  <c r="Q25" i="1" s="1"/>
  <c r="N22" i="1"/>
  <c r="N25" i="1" s="1"/>
  <c r="M22" i="1"/>
  <c r="K22" i="1"/>
  <c r="J22" i="1"/>
  <c r="L22" i="1" s="1"/>
  <c r="G22" i="1"/>
  <c r="I22" i="1" s="1"/>
  <c r="F22" i="1"/>
  <c r="H22" i="1" s="1"/>
  <c r="C22" i="1"/>
  <c r="E22" i="1" s="1"/>
  <c r="B22" i="1"/>
  <c r="V22" i="1" s="1"/>
  <c r="Y21" i="1"/>
  <c r="W21" i="1"/>
  <c r="V21" i="1"/>
  <c r="X21" i="1" s="1"/>
  <c r="U21" i="1"/>
  <c r="T21" i="1"/>
  <c r="Q21" i="1"/>
  <c r="P21" i="1"/>
  <c r="M21" i="1"/>
  <c r="L21" i="1"/>
  <c r="I21" i="1"/>
  <c r="H21" i="1"/>
  <c r="E21" i="1"/>
  <c r="D21" i="1"/>
  <c r="S20" i="1"/>
  <c r="O20" i="1"/>
  <c r="G20" i="1"/>
  <c r="C20" i="1"/>
  <c r="W19" i="1"/>
  <c r="Y19" i="1" s="1"/>
  <c r="U19" i="1"/>
  <c r="R19" i="1"/>
  <c r="T19" i="1" s="1"/>
  <c r="Q19" i="1"/>
  <c r="P19" i="1"/>
  <c r="N19" i="1"/>
  <c r="M19" i="1"/>
  <c r="J19" i="1"/>
  <c r="L19" i="1" s="1"/>
  <c r="I19" i="1"/>
  <c r="F19" i="1"/>
  <c r="H19" i="1" s="1"/>
  <c r="E19" i="1"/>
  <c r="B19" i="1"/>
  <c r="S18" i="1"/>
  <c r="U18" i="1" s="1"/>
  <c r="R18" i="1"/>
  <c r="T18" i="1" s="1"/>
  <c r="O18" i="1"/>
  <c r="N18" i="1"/>
  <c r="P18" i="1" s="1"/>
  <c r="L18" i="1"/>
  <c r="K18" i="1"/>
  <c r="J18" i="1"/>
  <c r="M18" i="1" s="1"/>
  <c r="G18" i="1"/>
  <c r="I18" i="1" s="1"/>
  <c r="F18" i="1"/>
  <c r="H18" i="1" s="1"/>
  <c r="C18" i="1"/>
  <c r="E18" i="1" s="1"/>
  <c r="B18" i="1"/>
  <c r="D18" i="1" s="1"/>
  <c r="S17" i="1"/>
  <c r="U17" i="1" s="1"/>
  <c r="R17" i="1"/>
  <c r="T17" i="1" s="1"/>
  <c r="O17" i="1"/>
  <c r="N17" i="1"/>
  <c r="L17" i="1"/>
  <c r="K17" i="1"/>
  <c r="K20" i="1" s="1"/>
  <c r="J17" i="1"/>
  <c r="J20" i="1" s="1"/>
  <c r="G17" i="1"/>
  <c r="I17" i="1" s="1"/>
  <c r="F17" i="1"/>
  <c r="H17" i="1" s="1"/>
  <c r="C17" i="1"/>
  <c r="E17" i="1" s="1"/>
  <c r="B17" i="1"/>
  <c r="W16" i="1"/>
  <c r="Y16" i="1" s="1"/>
  <c r="V16" i="1"/>
  <c r="X16" i="1" s="1"/>
  <c r="U16" i="1"/>
  <c r="T16" i="1"/>
  <c r="Q16" i="1"/>
  <c r="P16" i="1"/>
  <c r="M16" i="1"/>
  <c r="L16" i="1"/>
  <c r="I16" i="1"/>
  <c r="H16" i="1"/>
  <c r="E16" i="1"/>
  <c r="D16" i="1"/>
  <c r="N14" i="1"/>
  <c r="B14" i="1"/>
  <c r="N13" i="1"/>
  <c r="B13" i="1"/>
  <c r="W12" i="1"/>
  <c r="Y12" i="1" s="1"/>
  <c r="U12" i="1"/>
  <c r="T12" i="1"/>
  <c r="Q12" i="1"/>
  <c r="P12" i="1"/>
  <c r="M12" i="1"/>
  <c r="L12" i="1"/>
  <c r="I12" i="1"/>
  <c r="H12" i="1"/>
  <c r="E12" i="1"/>
  <c r="D12" i="1"/>
  <c r="B12" i="1"/>
  <c r="V12" i="1" s="1"/>
  <c r="X12" i="1" s="1"/>
  <c r="W11" i="1"/>
  <c r="Y11" i="1" s="1"/>
  <c r="U11" i="1"/>
  <c r="T11" i="1"/>
  <c r="Q11" i="1"/>
  <c r="P11" i="1"/>
  <c r="M11" i="1"/>
  <c r="L11" i="1"/>
  <c r="I11" i="1"/>
  <c r="H11" i="1"/>
  <c r="E11" i="1"/>
  <c r="D11" i="1"/>
  <c r="B11" i="1"/>
  <c r="V11" i="1" s="1"/>
  <c r="X11" i="1" s="1"/>
  <c r="V10" i="1"/>
  <c r="U10" i="1"/>
  <c r="T10" i="1"/>
  <c r="S10" i="1"/>
  <c r="Q10" i="1"/>
  <c r="O10" i="1"/>
  <c r="P10" i="1" s="1"/>
  <c r="M10" i="1"/>
  <c r="K10" i="1"/>
  <c r="L10" i="1" s="1"/>
  <c r="G10" i="1"/>
  <c r="E10" i="1"/>
  <c r="D10" i="1"/>
  <c r="C10" i="1"/>
  <c r="S9" i="1"/>
  <c r="U9" i="1" s="1"/>
  <c r="R9" i="1"/>
  <c r="T9" i="1" s="1"/>
  <c r="Q9" i="1"/>
  <c r="O9" i="1"/>
  <c r="N9" i="1"/>
  <c r="P9" i="1" s="1"/>
  <c r="M9" i="1"/>
  <c r="K9" i="1"/>
  <c r="J9" i="1"/>
  <c r="L9" i="1" s="1"/>
  <c r="G9" i="1"/>
  <c r="I9" i="1" s="1"/>
  <c r="F9" i="1"/>
  <c r="V9" i="1" s="1"/>
  <c r="C9" i="1"/>
  <c r="W9" i="1" s="1"/>
  <c r="Y9" i="1" s="1"/>
  <c r="B9" i="1"/>
  <c r="D9" i="1" s="1"/>
  <c r="S8" i="1"/>
  <c r="U8" i="1" s="1"/>
  <c r="R8" i="1"/>
  <c r="T8" i="1" s="1"/>
  <c r="Q8" i="1"/>
  <c r="O8" i="1"/>
  <c r="N8" i="1"/>
  <c r="P8" i="1" s="1"/>
  <c r="M8" i="1"/>
  <c r="K8" i="1"/>
  <c r="K13" i="1" s="1"/>
  <c r="J8" i="1"/>
  <c r="L8" i="1" s="1"/>
  <c r="G8" i="1"/>
  <c r="I8" i="1" s="1"/>
  <c r="F8" i="1"/>
  <c r="H8" i="1" s="1"/>
  <c r="C8" i="1"/>
  <c r="E8" i="1" s="1"/>
  <c r="B8" i="1"/>
  <c r="V8" i="1" s="1"/>
  <c r="L20" i="1" l="1"/>
  <c r="I20" i="1"/>
  <c r="F25" i="1"/>
  <c r="H25" i="1" s="1"/>
  <c r="K35" i="1"/>
  <c r="L32" i="1"/>
  <c r="M20" i="1"/>
  <c r="O117" i="1"/>
  <c r="P25" i="1"/>
  <c r="M32" i="1"/>
  <c r="M33" i="1"/>
  <c r="K55" i="1"/>
  <c r="M52" i="1"/>
  <c r="W52" i="1"/>
  <c r="Y52" i="1" s="1"/>
  <c r="Y37" i="1"/>
  <c r="E45" i="1"/>
  <c r="X68" i="1"/>
  <c r="N20" i="1"/>
  <c r="P17" i="1"/>
  <c r="V39" i="1"/>
  <c r="X39" i="1" s="1"/>
  <c r="D39" i="1"/>
  <c r="Q18" i="1"/>
  <c r="R30" i="1"/>
  <c r="U27" i="1"/>
  <c r="W33" i="1"/>
  <c r="Y33" i="1" s="1"/>
  <c r="H44" i="1"/>
  <c r="F45" i="1"/>
  <c r="U37" i="1"/>
  <c r="B40" i="1"/>
  <c r="E40" i="1" s="1"/>
  <c r="V37" i="1"/>
  <c r="X37" i="1" s="1"/>
  <c r="U35" i="1"/>
  <c r="E9" i="1"/>
  <c r="X9" i="1"/>
  <c r="V17" i="1"/>
  <c r="X23" i="1"/>
  <c r="V27" i="1"/>
  <c r="X27" i="1" s="1"/>
  <c r="X31" i="1"/>
  <c r="Y31" i="1"/>
  <c r="W32" i="1"/>
  <c r="F40" i="1"/>
  <c r="H40" i="1" s="1"/>
  <c r="H37" i="1"/>
  <c r="T37" i="1"/>
  <c r="R40" i="1"/>
  <c r="T40" i="1" s="1"/>
  <c r="Q22" i="1"/>
  <c r="W22" i="1"/>
  <c r="Y22" i="1" s="1"/>
  <c r="C25" i="1"/>
  <c r="K14" i="1"/>
  <c r="M13" i="1"/>
  <c r="B20" i="1"/>
  <c r="D17" i="1"/>
  <c r="V18" i="1"/>
  <c r="W23" i="1"/>
  <c r="Y23" i="1" s="1"/>
  <c r="T27" i="1"/>
  <c r="V35" i="1"/>
  <c r="V34" i="1"/>
  <c r="X34" i="1" s="1"/>
  <c r="I40" i="1"/>
  <c r="U40" i="1"/>
  <c r="M60" i="1"/>
  <c r="M25" i="1"/>
  <c r="Q33" i="1"/>
  <c r="P33" i="1"/>
  <c r="Y43" i="1"/>
  <c r="L47" i="1"/>
  <c r="J50" i="1"/>
  <c r="L50" i="1" s="1"/>
  <c r="V47" i="1"/>
  <c r="X47" i="1" s="1"/>
  <c r="Q17" i="1"/>
  <c r="V38" i="1"/>
  <c r="X38" i="1" s="1"/>
  <c r="M50" i="1"/>
  <c r="H10" i="1"/>
  <c r="W10" i="1"/>
  <c r="Y10" i="1" s="1"/>
  <c r="I10" i="1"/>
  <c r="V28" i="1"/>
  <c r="X28" i="1" s="1"/>
  <c r="E35" i="1"/>
  <c r="X33" i="1"/>
  <c r="W8" i="1"/>
  <c r="Y8" i="1" s="1"/>
  <c r="C13" i="1"/>
  <c r="P30" i="1"/>
  <c r="V19" i="1"/>
  <c r="X19" i="1" s="1"/>
  <c r="D19" i="1"/>
  <c r="V24" i="1"/>
  <c r="X24" i="1" s="1"/>
  <c r="Y28" i="1"/>
  <c r="V53" i="1"/>
  <c r="E53" i="1"/>
  <c r="D53" i="1"/>
  <c r="O35" i="1"/>
  <c r="Q35" i="1" s="1"/>
  <c r="U38" i="1"/>
  <c r="W20" i="1"/>
  <c r="F30" i="1"/>
  <c r="I27" i="1"/>
  <c r="O13" i="1"/>
  <c r="P13" i="1" s="1"/>
  <c r="E20" i="1"/>
  <c r="Q43" i="1"/>
  <c r="P43" i="1"/>
  <c r="X48" i="1"/>
  <c r="Y58" i="1"/>
  <c r="X57" i="1"/>
  <c r="E65" i="1"/>
  <c r="L67" i="1"/>
  <c r="J70" i="1"/>
  <c r="E90" i="1"/>
  <c r="D100" i="1"/>
  <c r="W17" i="1"/>
  <c r="Y17" i="1" s="1"/>
  <c r="W18" i="1"/>
  <c r="Y18" i="1" s="1"/>
  <c r="G25" i="1"/>
  <c r="S25" i="1"/>
  <c r="U25" i="1" s="1"/>
  <c r="E27" i="1"/>
  <c r="Q27" i="1"/>
  <c r="E28" i="1"/>
  <c r="V29" i="1"/>
  <c r="X29" i="1" s="1"/>
  <c r="J30" i="1"/>
  <c r="L30" i="1" s="1"/>
  <c r="I32" i="1"/>
  <c r="V32" i="1"/>
  <c r="X32" i="1" s="1"/>
  <c r="O40" i="1"/>
  <c r="Q40" i="1" s="1"/>
  <c r="L43" i="1"/>
  <c r="T47" i="1"/>
  <c r="T50" i="1"/>
  <c r="S55" i="1"/>
  <c r="U55" i="1" s="1"/>
  <c r="H57" i="1"/>
  <c r="W57" i="1"/>
  <c r="Y57" i="1" s="1"/>
  <c r="W60" i="1"/>
  <c r="L62" i="1"/>
  <c r="H70" i="1"/>
  <c r="D80" i="1"/>
  <c r="H90" i="1"/>
  <c r="Y92" i="1"/>
  <c r="E105" i="1"/>
  <c r="D105" i="1"/>
  <c r="I115" i="1"/>
  <c r="T45" i="1"/>
  <c r="S50" i="1"/>
  <c r="U50" i="1" s="1"/>
  <c r="E55" i="1"/>
  <c r="P63" i="1"/>
  <c r="F65" i="1"/>
  <c r="M67" i="1"/>
  <c r="B75" i="1"/>
  <c r="V72" i="1"/>
  <c r="X72" i="1" s="1"/>
  <c r="E72" i="1"/>
  <c r="I75" i="1"/>
  <c r="M78" i="1"/>
  <c r="I80" i="1"/>
  <c r="V83" i="1"/>
  <c r="X83" i="1" s="1"/>
  <c r="D83" i="1"/>
  <c r="U85" i="1"/>
  <c r="W93" i="1"/>
  <c r="Y93" i="1" s="1"/>
  <c r="E93" i="1"/>
  <c r="D93" i="1"/>
  <c r="C95" i="1"/>
  <c r="Q100" i="1"/>
  <c r="H105" i="1"/>
  <c r="L107" i="1"/>
  <c r="J110" i="1"/>
  <c r="L110" i="1" s="1"/>
  <c r="D8" i="1"/>
  <c r="M17" i="1"/>
  <c r="F20" i="1"/>
  <c r="R20" i="1"/>
  <c r="U20" i="1" s="1"/>
  <c r="D22" i="1"/>
  <c r="P22" i="1"/>
  <c r="D23" i="1"/>
  <c r="E37" i="1"/>
  <c r="E38" i="1"/>
  <c r="V42" i="1"/>
  <c r="X42" i="1" s="1"/>
  <c r="S45" i="1"/>
  <c r="U45" i="1" s="1"/>
  <c r="H47" i="1"/>
  <c r="W47" i="1"/>
  <c r="L52" i="1"/>
  <c r="F60" i="1"/>
  <c r="H60" i="1" s="1"/>
  <c r="X61" i="1"/>
  <c r="M62" i="1"/>
  <c r="D68" i="1"/>
  <c r="D77" i="1"/>
  <c r="U77" i="1"/>
  <c r="T77" i="1"/>
  <c r="Y83" i="1"/>
  <c r="H93" i="1"/>
  <c r="V93" i="1"/>
  <c r="F95" i="1"/>
  <c r="Q98" i="1"/>
  <c r="P98" i="1"/>
  <c r="M110" i="1"/>
  <c r="J65" i="1"/>
  <c r="L65" i="1" s="1"/>
  <c r="F13" i="1"/>
  <c r="V13" i="1" s="1"/>
  <c r="R13" i="1"/>
  <c r="C30" i="1"/>
  <c r="J35" i="1"/>
  <c r="L35" i="1" s="1"/>
  <c r="K45" i="1"/>
  <c r="K117" i="1" s="1"/>
  <c r="X46" i="1"/>
  <c r="M47" i="1"/>
  <c r="G50" i="1"/>
  <c r="I50" i="1" s="1"/>
  <c r="N55" i="1"/>
  <c r="P55" i="1" s="1"/>
  <c r="E58" i="1"/>
  <c r="J60" i="1"/>
  <c r="L60" i="1" s="1"/>
  <c r="B65" i="1"/>
  <c r="P62" i="1"/>
  <c r="T63" i="1"/>
  <c r="Q67" i="1"/>
  <c r="Q70" i="1"/>
  <c r="W77" i="1"/>
  <c r="Y77" i="1" s="1"/>
  <c r="I77" i="1"/>
  <c r="H77" i="1"/>
  <c r="S80" i="1"/>
  <c r="U80" i="1" s="1"/>
  <c r="Q90" i="1"/>
  <c r="P90" i="1"/>
  <c r="W98" i="1"/>
  <c r="Y108" i="1"/>
  <c r="Q110" i="1"/>
  <c r="V70" i="1"/>
  <c r="D90" i="1"/>
  <c r="V90" i="1"/>
  <c r="H9" i="1"/>
  <c r="G13" i="1"/>
  <c r="S13" i="1"/>
  <c r="P32" i="1"/>
  <c r="D33" i="1"/>
  <c r="I37" i="1"/>
  <c r="M42" i="1"/>
  <c r="G45" i="1"/>
  <c r="I45" i="1" s="1"/>
  <c r="N50" i="1"/>
  <c r="P50" i="1" s="1"/>
  <c r="D48" i="1"/>
  <c r="J55" i="1"/>
  <c r="L55" i="1" s="1"/>
  <c r="B60" i="1"/>
  <c r="E60" i="1" s="1"/>
  <c r="P57" i="1"/>
  <c r="T58" i="1"/>
  <c r="Q62" i="1"/>
  <c r="V63" i="1"/>
  <c r="D67" i="1"/>
  <c r="H68" i="1"/>
  <c r="W68" i="1"/>
  <c r="Y68" i="1" s="1"/>
  <c r="V69" i="1"/>
  <c r="X69" i="1" s="1"/>
  <c r="W73" i="1"/>
  <c r="Y73" i="1" s="1"/>
  <c r="P75" i="1"/>
  <c r="J80" i="1"/>
  <c r="L80" i="1" s="1"/>
  <c r="L77" i="1"/>
  <c r="U78" i="1"/>
  <c r="T78" i="1"/>
  <c r="U90" i="1"/>
  <c r="T90" i="1"/>
  <c r="Q95" i="1"/>
  <c r="P95" i="1"/>
  <c r="L108" i="1"/>
  <c r="M108" i="1"/>
  <c r="Q115" i="1"/>
  <c r="Y113" i="1"/>
  <c r="T98" i="1"/>
  <c r="R100" i="1"/>
  <c r="T68" i="1"/>
  <c r="B25" i="1"/>
  <c r="L28" i="1"/>
  <c r="Q32" i="1"/>
  <c r="N45" i="1"/>
  <c r="P45" i="1" s="1"/>
  <c r="D43" i="1"/>
  <c r="E48" i="1"/>
  <c r="B55" i="1"/>
  <c r="P52" i="1"/>
  <c r="T53" i="1"/>
  <c r="Q57" i="1"/>
  <c r="W63" i="1"/>
  <c r="Y63" i="1" s="1"/>
  <c r="V64" i="1"/>
  <c r="X64" i="1" s="1"/>
  <c r="Q65" i="1"/>
  <c r="E67" i="1"/>
  <c r="R70" i="1"/>
  <c r="T70" i="1" s="1"/>
  <c r="T75" i="1"/>
  <c r="M80" i="1"/>
  <c r="D78" i="1"/>
  <c r="V78" i="1"/>
  <c r="M100" i="1"/>
  <c r="D110" i="1"/>
  <c r="D115" i="1"/>
  <c r="W40" i="1"/>
  <c r="D32" i="1"/>
  <c r="J45" i="1"/>
  <c r="L45" i="1" s="1"/>
  <c r="B50" i="1"/>
  <c r="E50" i="1" s="1"/>
  <c r="P47" i="1"/>
  <c r="T48" i="1"/>
  <c r="V59" i="1"/>
  <c r="X59" i="1" s="1"/>
  <c r="Q60" i="1"/>
  <c r="T67" i="1"/>
  <c r="S70" i="1"/>
  <c r="W70" i="1" s="1"/>
  <c r="Y70" i="1" s="1"/>
  <c r="S75" i="1"/>
  <c r="U75" i="1" s="1"/>
  <c r="L85" i="1"/>
  <c r="D88" i="1"/>
  <c r="V88" i="1"/>
  <c r="X88" i="1" s="1"/>
  <c r="W100" i="1"/>
  <c r="E100" i="1"/>
  <c r="X102" i="1"/>
  <c r="E115" i="1"/>
  <c r="W115" i="1"/>
  <c r="H50" i="1"/>
  <c r="T80" i="1"/>
  <c r="D98" i="1"/>
  <c r="V98" i="1"/>
  <c r="X98" i="1" s="1"/>
  <c r="J13" i="1"/>
  <c r="E32" i="1"/>
  <c r="H33" i="1"/>
  <c r="L37" i="1"/>
  <c r="B45" i="1"/>
  <c r="T43" i="1"/>
  <c r="H53" i="1"/>
  <c r="W53" i="1"/>
  <c r="Y53" i="1" s="1"/>
  <c r="V54" i="1"/>
  <c r="X54" i="1" s="1"/>
  <c r="Q55" i="1"/>
  <c r="E57" i="1"/>
  <c r="L58" i="1"/>
  <c r="T62" i="1"/>
  <c r="R65" i="1"/>
  <c r="V67" i="1"/>
  <c r="X67" i="1" s="1"/>
  <c r="N80" i="1"/>
  <c r="P80" i="1" s="1"/>
  <c r="V79" i="1"/>
  <c r="X79" i="1" s="1"/>
  <c r="D79" i="1"/>
  <c r="B85" i="1"/>
  <c r="U95" i="1"/>
  <c r="N100" i="1"/>
  <c r="P100" i="1" s="1"/>
  <c r="P97" i="1"/>
  <c r="S105" i="1"/>
  <c r="U105" i="1" s="1"/>
  <c r="U103" i="1"/>
  <c r="T103" i="1"/>
  <c r="Q105" i="1"/>
  <c r="E110" i="1"/>
  <c r="M37" i="1"/>
  <c r="V49" i="1"/>
  <c r="X49" i="1" s="1"/>
  <c r="L53" i="1"/>
  <c r="T60" i="1"/>
  <c r="V62" i="1"/>
  <c r="X62" i="1" s="1"/>
  <c r="S65" i="1"/>
  <c r="U65" i="1" s="1"/>
  <c r="W67" i="1"/>
  <c r="E70" i="1"/>
  <c r="X71" i="1"/>
  <c r="W78" i="1"/>
  <c r="Y78" i="1" s="1"/>
  <c r="I78" i="1"/>
  <c r="H78" i="1"/>
  <c r="W80" i="1"/>
  <c r="E80" i="1"/>
  <c r="Q85" i="1"/>
  <c r="P85" i="1"/>
  <c r="X103" i="1"/>
  <c r="V107" i="1"/>
  <c r="U115" i="1"/>
  <c r="X116" i="1"/>
  <c r="F110" i="1"/>
  <c r="R110" i="1"/>
  <c r="L116" i="1"/>
  <c r="G90" i="1"/>
  <c r="I90" i="1" s="1"/>
  <c r="V94" i="1"/>
  <c r="X94" i="1" s="1"/>
  <c r="G110" i="1"/>
  <c r="I110" i="1" s="1"/>
  <c r="S110" i="1"/>
  <c r="U110" i="1" s="1"/>
  <c r="V114" i="1"/>
  <c r="X114" i="1" s="1"/>
  <c r="J115" i="1"/>
  <c r="L115" i="1" s="1"/>
  <c r="K95" i="1"/>
  <c r="V97" i="1"/>
  <c r="D102" i="1"/>
  <c r="P104" i="1"/>
  <c r="W97" i="1"/>
  <c r="Y97" i="1" s="1"/>
  <c r="R105" i="1"/>
  <c r="V105" i="1" s="1"/>
  <c r="P116" i="1"/>
  <c r="G85" i="1"/>
  <c r="I85" i="1" s="1"/>
  <c r="W103" i="1"/>
  <c r="Y103" i="1" s="1"/>
  <c r="G105" i="1"/>
  <c r="I105" i="1" s="1"/>
  <c r="V109" i="1"/>
  <c r="X109" i="1" s="1"/>
  <c r="V87" i="1"/>
  <c r="X87" i="1" s="1"/>
  <c r="M97" i="1"/>
  <c r="I112" i="1"/>
  <c r="U112" i="1"/>
  <c r="I113" i="1"/>
  <c r="V112" i="1"/>
  <c r="V113" i="1"/>
  <c r="X113" i="1" s="1"/>
  <c r="D116" i="1"/>
  <c r="T116" i="1"/>
  <c r="E82" i="1"/>
  <c r="W112" i="1"/>
  <c r="Y112" i="1" s="1"/>
  <c r="E116" i="1"/>
  <c r="V82" i="1"/>
  <c r="X82" i="1" s="1"/>
  <c r="I107" i="1"/>
  <c r="I108" i="1"/>
  <c r="L113" i="1"/>
  <c r="H116" i="1"/>
  <c r="T13" i="1" l="1"/>
  <c r="R14" i="1"/>
  <c r="Q50" i="1"/>
  <c r="M115" i="1"/>
  <c r="H65" i="1"/>
  <c r="I65" i="1"/>
  <c r="Y82" i="1"/>
  <c r="T55" i="1"/>
  <c r="Y42" i="1"/>
  <c r="X17" i="1"/>
  <c r="Y38" i="1"/>
  <c r="J117" i="1"/>
  <c r="L117" i="1" s="1"/>
  <c r="T65" i="1"/>
  <c r="E95" i="1"/>
  <c r="D95" i="1"/>
  <c r="W95" i="1"/>
  <c r="W65" i="1"/>
  <c r="Y65" i="1" s="1"/>
  <c r="I25" i="1"/>
  <c r="Q45" i="1"/>
  <c r="E30" i="1"/>
  <c r="W30" i="1"/>
  <c r="V40" i="1"/>
  <c r="X40" i="1" s="1"/>
  <c r="D40" i="1"/>
  <c r="H30" i="1"/>
  <c r="I30" i="1"/>
  <c r="K118" i="1"/>
  <c r="M14" i="1"/>
  <c r="G117" i="1"/>
  <c r="V85" i="1"/>
  <c r="D85" i="1"/>
  <c r="Y72" i="1"/>
  <c r="E85" i="1"/>
  <c r="X63" i="1"/>
  <c r="H85" i="1"/>
  <c r="R117" i="1"/>
  <c r="T117" i="1" s="1"/>
  <c r="T20" i="1"/>
  <c r="W55" i="1"/>
  <c r="V80" i="1"/>
  <c r="X80" i="1" s="1"/>
  <c r="Y27" i="1"/>
  <c r="T30" i="1"/>
  <c r="U30" i="1"/>
  <c r="X22" i="1"/>
  <c r="S117" i="1"/>
  <c r="W105" i="1"/>
  <c r="Y105" i="1" s="1"/>
  <c r="H13" i="1"/>
  <c r="F14" i="1"/>
  <c r="V65" i="1"/>
  <c r="D65" i="1"/>
  <c r="X112" i="1"/>
  <c r="W110" i="1"/>
  <c r="H95" i="1"/>
  <c r="V95" i="1"/>
  <c r="X95" i="1" s="1"/>
  <c r="W50" i="1"/>
  <c r="Y50" i="1" s="1"/>
  <c r="F117" i="1"/>
  <c r="H117" i="1" s="1"/>
  <c r="H20" i="1"/>
  <c r="W35" i="1"/>
  <c r="Y35" i="1" s="1"/>
  <c r="M65" i="1"/>
  <c r="M30" i="1"/>
  <c r="Y88" i="1"/>
  <c r="D25" i="1"/>
  <c r="V25" i="1"/>
  <c r="X25" i="1" s="1"/>
  <c r="T110" i="1"/>
  <c r="V110" i="1"/>
  <c r="X110" i="1" s="1"/>
  <c r="W85" i="1"/>
  <c r="Y85" i="1" s="1"/>
  <c r="U13" i="1"/>
  <c r="S14" i="1"/>
  <c r="H110" i="1"/>
  <c r="I13" i="1"/>
  <c r="G14" i="1"/>
  <c r="X93" i="1"/>
  <c r="V30" i="1"/>
  <c r="X30" i="1" s="1"/>
  <c r="V100" i="1"/>
  <c r="X100" i="1" s="1"/>
  <c r="X53" i="1"/>
  <c r="X18" i="1"/>
  <c r="I60" i="1"/>
  <c r="Y62" i="1"/>
  <c r="X70" i="1"/>
  <c r="N117" i="1"/>
  <c r="P20" i="1"/>
  <c r="Q20" i="1"/>
  <c r="E25" i="1"/>
  <c r="W25" i="1"/>
  <c r="Y40" i="1"/>
  <c r="Y98" i="1"/>
  <c r="C117" i="1"/>
  <c r="V115" i="1"/>
  <c r="X115" i="1" s="1"/>
  <c r="T105" i="1"/>
  <c r="T100" i="1"/>
  <c r="U100" i="1"/>
  <c r="Y47" i="1"/>
  <c r="W90" i="1"/>
  <c r="Y90" i="1" s="1"/>
  <c r="M55" i="1"/>
  <c r="P40" i="1"/>
  <c r="V75" i="1"/>
  <c r="D75" i="1"/>
  <c r="W13" i="1"/>
  <c r="Y13" i="1" s="1"/>
  <c r="E13" i="1"/>
  <c r="C14" i="1"/>
  <c r="H45" i="1"/>
  <c r="W45" i="1"/>
  <c r="Y45" i="1" s="1"/>
  <c r="Q80" i="1"/>
  <c r="V45" i="1"/>
  <c r="D45" i="1"/>
  <c r="Y87" i="1"/>
  <c r="V60" i="1"/>
  <c r="X60" i="1" s="1"/>
  <c r="D60" i="1"/>
  <c r="X90" i="1"/>
  <c r="M45" i="1"/>
  <c r="Y60" i="1"/>
  <c r="X8" i="1"/>
  <c r="B117" i="1"/>
  <c r="V20" i="1"/>
  <c r="X20" i="1" s="1"/>
  <c r="D20" i="1"/>
  <c r="X10" i="1"/>
  <c r="X73" i="1"/>
  <c r="M35" i="1"/>
  <c r="P35" i="1"/>
  <c r="J14" i="1"/>
  <c r="L13" i="1"/>
  <c r="Q117" i="1"/>
  <c r="U70" i="1"/>
  <c r="X97" i="1"/>
  <c r="W75" i="1"/>
  <c r="Y75" i="1" s="1"/>
  <c r="M95" i="1"/>
  <c r="L95" i="1"/>
  <c r="X107" i="1"/>
  <c r="Y107" i="1"/>
  <c r="Y67" i="1"/>
  <c r="E75" i="1"/>
  <c r="V50" i="1"/>
  <c r="D50" i="1"/>
  <c r="X78" i="1"/>
  <c r="V55" i="1"/>
  <c r="X55" i="1" s="1"/>
  <c r="D55" i="1"/>
  <c r="X77" i="1"/>
  <c r="L70" i="1"/>
  <c r="M70" i="1"/>
  <c r="Q13" i="1"/>
  <c r="O14" i="1"/>
  <c r="I95" i="1"/>
  <c r="D13" i="1"/>
  <c r="Y32" i="1"/>
  <c r="X52" i="1"/>
  <c r="D30" i="1"/>
  <c r="T25" i="1"/>
  <c r="V117" i="1" l="1"/>
  <c r="D117" i="1"/>
  <c r="B118" i="1"/>
  <c r="X85" i="1"/>
  <c r="Y95" i="1"/>
  <c r="Y55" i="1"/>
  <c r="X50" i="1"/>
  <c r="J118" i="1"/>
  <c r="L14" i="1"/>
  <c r="X75" i="1"/>
  <c r="Y25" i="1"/>
  <c r="Y80" i="1"/>
  <c r="G118" i="1"/>
  <c r="I14" i="1"/>
  <c r="Y20" i="1"/>
  <c r="X65" i="1"/>
  <c r="R118" i="1"/>
  <c r="T14" i="1"/>
  <c r="I117" i="1"/>
  <c r="K119" i="1"/>
  <c r="F118" i="1"/>
  <c r="H14" i="1"/>
  <c r="V14" i="1"/>
  <c r="X14" i="1" s="1"/>
  <c r="C118" i="1"/>
  <c r="W14" i="1"/>
  <c r="E14" i="1"/>
  <c r="D14" i="1"/>
  <c r="Y30" i="1"/>
  <c r="X105" i="1"/>
  <c r="W117" i="1"/>
  <c r="Y117" i="1" s="1"/>
  <c r="E117" i="1"/>
  <c r="Y110" i="1"/>
  <c r="O118" i="1"/>
  <c r="Q14" i="1"/>
  <c r="P14" i="1"/>
  <c r="P117" i="1"/>
  <c r="N118" i="1"/>
  <c r="X35" i="1"/>
  <c r="M117" i="1"/>
  <c r="Y115" i="1"/>
  <c r="X45" i="1"/>
  <c r="S118" i="1"/>
  <c r="U14" i="1"/>
  <c r="U117" i="1"/>
  <c r="Y100" i="1"/>
  <c r="X13" i="1"/>
  <c r="Q118" i="1" l="1"/>
  <c r="O119" i="1"/>
  <c r="L118" i="1"/>
  <c r="J119" i="1"/>
  <c r="L119" i="1" s="1"/>
  <c r="U118" i="1"/>
  <c r="S119" i="1"/>
  <c r="M119" i="1"/>
  <c r="T118" i="1"/>
  <c r="R119" i="1"/>
  <c r="T119" i="1" s="1"/>
  <c r="Y14" i="1"/>
  <c r="H118" i="1"/>
  <c r="F119" i="1"/>
  <c r="H119" i="1" s="1"/>
  <c r="M118" i="1"/>
  <c r="V118" i="1"/>
  <c r="D118" i="1"/>
  <c r="B119" i="1"/>
  <c r="P118" i="1"/>
  <c r="N119" i="1"/>
  <c r="P119" i="1" s="1"/>
  <c r="W118" i="1"/>
  <c r="Y118" i="1" s="1"/>
  <c r="E118" i="1"/>
  <c r="C119" i="1"/>
  <c r="I118" i="1"/>
  <c r="G119" i="1"/>
  <c r="I119" i="1" s="1"/>
  <c r="X117" i="1"/>
  <c r="U119" i="1" l="1"/>
  <c r="V119" i="1"/>
  <c r="D119" i="1"/>
  <c r="Q119" i="1"/>
  <c r="W119" i="1"/>
  <c r="Y119" i="1" s="1"/>
  <c r="E119" i="1"/>
  <c r="X118" i="1"/>
  <c r="X119" i="1" l="1"/>
</calcChain>
</file>

<file path=xl/sharedStrings.xml><?xml version="1.0" encoding="utf-8"?>
<sst xmlns="http://schemas.openxmlformats.org/spreadsheetml/2006/main" count="147" uniqueCount="127">
  <si>
    <t>Oct 2023</t>
  </si>
  <si>
    <t>Nov 2023</t>
  </si>
  <si>
    <t>Dec 2023</t>
  </si>
  <si>
    <t>Jan 2024</t>
  </si>
  <si>
    <t>Feb 2024</t>
  </si>
  <si>
    <t>Total</t>
  </si>
  <si>
    <t>Actual</t>
  </si>
  <si>
    <t>Budget</t>
  </si>
  <si>
    <t>over Budget</t>
  </si>
  <si>
    <t>% of Budget</t>
  </si>
  <si>
    <t>Revenue</t>
  </si>
  <si>
    <t xml:space="preserve">   4010-00 MRS Grant</t>
  </si>
  <si>
    <t xml:space="preserve">   4020-00 BSBP Grant</t>
  </si>
  <si>
    <t xml:space="preserve">   4050-00 MPHI Grant</t>
  </si>
  <si>
    <t xml:space="preserve">   4100-00 Other Income</t>
  </si>
  <si>
    <t xml:space="preserve">   Sales</t>
  </si>
  <si>
    <t>Total Revenue</t>
  </si>
  <si>
    <t>Gross Profit</t>
  </si>
  <si>
    <t>Expenditures</t>
  </si>
  <si>
    <t xml:space="preserve">   5000-00 Wage Expense</t>
  </si>
  <si>
    <t xml:space="preserve">      5000-01 Wages-MRS</t>
  </si>
  <si>
    <t xml:space="preserve">      5000-02 Wages-BSBP</t>
  </si>
  <si>
    <t xml:space="preserve">      5000-99 Wages-Unallocated</t>
  </si>
  <si>
    <t xml:space="preserve">   Total 5000-00 Wage Expense</t>
  </si>
  <si>
    <t xml:space="preserve">   5100-00 Social Security Expense</t>
  </si>
  <si>
    <t xml:space="preserve">      5100-01 Social Sec-MRS</t>
  </si>
  <si>
    <t xml:space="preserve">      5100-02 Social Sec-BSBP</t>
  </si>
  <si>
    <t xml:space="preserve">      5100-99 Social Sec-Unallacated</t>
  </si>
  <si>
    <t xml:space="preserve">   Total 5100-00 Social Security Expense</t>
  </si>
  <si>
    <t xml:space="preserve">   5200-00 Medicare Expense</t>
  </si>
  <si>
    <t xml:space="preserve">      5200-01 Medicare-MRS</t>
  </si>
  <si>
    <t xml:space="preserve">      5200-02 Medicare-BSBP</t>
  </si>
  <si>
    <t xml:space="preserve">      5200-99 Medicare-Unallocated</t>
  </si>
  <si>
    <t xml:space="preserve">   Total 5200-00 Medicare Expense</t>
  </si>
  <si>
    <t xml:space="preserve">   5300-00 UIA Expense</t>
  </si>
  <si>
    <t xml:space="preserve">      5300-01 UIA-MRS</t>
  </si>
  <si>
    <t xml:space="preserve">      5300-02 UIA-BSBP</t>
  </si>
  <si>
    <t xml:space="preserve">      5300-99 UIA-Unallocated</t>
  </si>
  <si>
    <t xml:space="preserve">   Total 5300-00 UIA Expense</t>
  </si>
  <si>
    <t xml:space="preserve">   5400-00 Dental Insurance</t>
  </si>
  <si>
    <t xml:space="preserve">      5400-01 Dental-MRS</t>
  </si>
  <si>
    <t xml:space="preserve">      5400-02 Dental-BSBP</t>
  </si>
  <si>
    <t xml:space="preserve">      5400-99 Dental-Unallocated</t>
  </si>
  <si>
    <t xml:space="preserve">   Total 5400-00 Dental Insurance</t>
  </si>
  <si>
    <t xml:space="preserve">   5500-00 Health Insurance Expense</t>
  </si>
  <si>
    <t xml:space="preserve">      5500-01 Health-MRS</t>
  </si>
  <si>
    <t xml:space="preserve">      5500-02 Health-BSBP</t>
  </si>
  <si>
    <t xml:space="preserve">      5500-99 Health-Unallocated</t>
  </si>
  <si>
    <t xml:space="preserve">   Total 5500-00 Health Insurance Expense</t>
  </si>
  <si>
    <t xml:space="preserve">   5600-00 Disability/Life Expense</t>
  </si>
  <si>
    <t xml:space="preserve">      5600-01 Disability-MRS</t>
  </si>
  <si>
    <t xml:space="preserve">      5600-02 Disability-BSBP</t>
  </si>
  <si>
    <t xml:space="preserve">      5600-99 Disability-Unallocated</t>
  </si>
  <si>
    <t xml:space="preserve">   Total 5600-00 Disability/Life Expense</t>
  </si>
  <si>
    <t xml:space="preserve">   5700-00 Professional Fees</t>
  </si>
  <si>
    <t xml:space="preserve">      5700-01 Professional-MRS</t>
  </si>
  <si>
    <t xml:space="preserve">      5700-02 Professional-BSBP</t>
  </si>
  <si>
    <t xml:space="preserve">      5700-99 Professional-Unallocated</t>
  </si>
  <si>
    <t xml:space="preserve">   Total 5700-00 Professional Fees</t>
  </si>
  <si>
    <t xml:space="preserve">   5950-00 Retirement</t>
  </si>
  <si>
    <t xml:space="preserve">      5950-01 Retirement-MRS</t>
  </si>
  <si>
    <t xml:space="preserve">      5950-02 Retirement-BSBP</t>
  </si>
  <si>
    <t xml:space="preserve">      5950-99 Retirement-Unallocated</t>
  </si>
  <si>
    <t xml:space="preserve">   Total 5950-00 Retirement</t>
  </si>
  <si>
    <t xml:space="preserve">   6000-00 Rent Expense</t>
  </si>
  <si>
    <t xml:space="preserve">      6000-01 Rent-MRS</t>
  </si>
  <si>
    <t xml:space="preserve">      6000-02 Rent-BSBP</t>
  </si>
  <si>
    <t xml:space="preserve">      6000-99 Rent-Unallocated</t>
  </si>
  <si>
    <t xml:space="preserve">   Total 6000-00 Rent Expense</t>
  </si>
  <si>
    <t xml:space="preserve">   6100-00 Communications</t>
  </si>
  <si>
    <t xml:space="preserve">      6100-01 Communication-MRS</t>
  </si>
  <si>
    <t xml:space="preserve">      6100-02 Communication-BSBP</t>
  </si>
  <si>
    <t xml:space="preserve">      6100-99 Communication-Unallocated</t>
  </si>
  <si>
    <t xml:space="preserve">   Total 6100-00 Communications</t>
  </si>
  <si>
    <t xml:space="preserve">   6200-00 Audit</t>
  </si>
  <si>
    <t xml:space="preserve">      6200-01 Audit-MRS</t>
  </si>
  <si>
    <t xml:space="preserve">      6200-02 Audit-BSBP</t>
  </si>
  <si>
    <t xml:space="preserve">      6200-99 Audit-Unallocated</t>
  </si>
  <si>
    <t xml:space="preserve">   Total 6200-00 Audit</t>
  </si>
  <si>
    <t xml:space="preserve">   6300-00 Insurance</t>
  </si>
  <si>
    <t xml:space="preserve">      6300-01 Insurance-MRS</t>
  </si>
  <si>
    <t xml:space="preserve">      6300-02 Insurance-BSBP</t>
  </si>
  <si>
    <t xml:space="preserve">      6300-99 Insurance-Unallocated</t>
  </si>
  <si>
    <t xml:space="preserve">   Total 6300-00 Insurance</t>
  </si>
  <si>
    <t xml:space="preserve">   6600-00 Supplies</t>
  </si>
  <si>
    <t xml:space="preserve">      6600-01 Supplies-MRS</t>
  </si>
  <si>
    <t xml:space="preserve">      6600-02 Supplies-BSBP</t>
  </si>
  <si>
    <t xml:space="preserve">      6600-99 Supplies-Unallocated</t>
  </si>
  <si>
    <t xml:space="preserve">   Total 6600-00 Supplies</t>
  </si>
  <si>
    <t xml:space="preserve">   6800-00 Accomodations</t>
  </si>
  <si>
    <t xml:space="preserve">      6800-01 Accomodations-MRS</t>
  </si>
  <si>
    <t xml:space="preserve">      6800-02 Accomodations-BSBP</t>
  </si>
  <si>
    <t xml:space="preserve">      6800-99 Accomodations-Unallocated</t>
  </si>
  <si>
    <t xml:space="preserve">   Total 6800-00 Accomodations</t>
  </si>
  <si>
    <t xml:space="preserve">   6900-00 Training</t>
  </si>
  <si>
    <t xml:space="preserve">      6900-01 Training-MRS</t>
  </si>
  <si>
    <t xml:space="preserve">      6900-02 Training-BSBP</t>
  </si>
  <si>
    <t xml:space="preserve">      6900-99 Training-Unallocated</t>
  </si>
  <si>
    <t xml:space="preserve">   Total 6900-00 Training</t>
  </si>
  <si>
    <t xml:space="preserve">   7000-00 Travel</t>
  </si>
  <si>
    <t xml:space="preserve">      7000-01 Travel-MRS</t>
  </si>
  <si>
    <t xml:space="preserve">      7000-02 Travel-BSBP</t>
  </si>
  <si>
    <t xml:space="preserve">      7000-99 Travel-Unallocated</t>
  </si>
  <si>
    <t xml:space="preserve">   Total 7000-00 Travel</t>
  </si>
  <si>
    <t xml:space="preserve">   7100-00 Council Meetings</t>
  </si>
  <si>
    <t xml:space="preserve">      7100-01 Council Meeting-MRS</t>
  </si>
  <si>
    <t xml:space="preserve">      7100-02 Council Meeting-BSBP</t>
  </si>
  <si>
    <t xml:space="preserve">      7100-99 Council Meeting-Unallocated</t>
  </si>
  <si>
    <t xml:space="preserve">   Total 7100-00 Council Meetings</t>
  </si>
  <si>
    <t xml:space="preserve">   7300-00 SPIL Support</t>
  </si>
  <si>
    <t xml:space="preserve">      7300-01 SPIL-MRS</t>
  </si>
  <si>
    <t xml:space="preserve">      7300-02 SPIL-BSBP</t>
  </si>
  <si>
    <t xml:space="preserve">      7300-99 SPIL-Unallocated</t>
  </si>
  <si>
    <t xml:space="preserve">   Total 7300-00 SPIL Support</t>
  </si>
  <si>
    <t xml:space="preserve">   7900-00 Miscellaneous</t>
  </si>
  <si>
    <t xml:space="preserve">      7900-01 Misc-MRS</t>
  </si>
  <si>
    <t xml:space="preserve">      7900-02 Misc-BSBP</t>
  </si>
  <si>
    <t xml:space="preserve">      7900-99 Misc-Unallocated</t>
  </si>
  <si>
    <t xml:space="preserve">   Total 7900-00 Miscellaneous</t>
  </si>
  <si>
    <t xml:space="preserve">   8050-00 MPHI Grant related expenses</t>
  </si>
  <si>
    <t>Total Expenditures</t>
  </si>
  <si>
    <t>Net Operating Revenue</t>
  </si>
  <si>
    <t>Net Revenue</t>
  </si>
  <si>
    <t>Monday, Mar 04, 2024 10:22:03 AM GMT-8 - Accrual Basis</t>
  </si>
  <si>
    <t>Michigan Statewide Independent Living Corp</t>
  </si>
  <si>
    <t xml:space="preserve">Budget vs. Actuals: FY2024 Budget - FY24 P&amp;L </t>
  </si>
  <si>
    <t>October 2023 - February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</si>
</sst>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_€"/>
    <numFmt numFmtId="165" formatCode="&quot;$&quot;* #,##0.00\ _€"/>
  </numFmts>
  <fonts count="6" x14ac:knownFonts="1">
    <font>
      <sz val="11"/>
      <color indexed="8"/>
      <name val="Aptos Narrow"/>
      <family val="2"/>
      <scheme val="minor"/>
    </font>
    <font>
      <b/>
      <sz val="9"/>
      <color indexed="8"/>
      <name val="Arial"/>
    </font>
    <font>
      <b/>
      <sz val="8"/>
      <color indexed="8"/>
      <name val="Arial"/>
    </font>
    <font>
      <sz val="8"/>
      <color indexed="8"/>
      <name val="Arial"/>
    </font>
    <font>
      <b/>
      <sz val="14"/>
      <color indexed="8"/>
      <name val="Arial"/>
    </font>
    <font>
      <b/>
      <sz val="10"/>
      <color indexed="8"/>
      <name val="Arial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wrapText="1"/>
    </xf>
    <xf numFmtId="0" fontId="2" fillId="0" borderId="0" xfId="0" applyFont="1" applyAlignment="1">
      <alignment horizontal="left" wrapText="1"/>
    </xf>
    <xf numFmtId="164" fontId="3" fillId="0" borderId="0" xfId="0" applyNumberFormat="1" applyFont="1" applyAlignment="1">
      <alignment wrapText="1"/>
    </xf>
    <xf numFmtId="164" fontId="3" fillId="0" borderId="0" xfId="0" applyNumberFormat="1" applyFont="1" applyAlignment="1">
      <alignment horizontal="right" wrapText="1"/>
    </xf>
    <xf numFmtId="10" fontId="3" fillId="0" borderId="0" xfId="0" applyNumberFormat="1" applyFont="1" applyAlignment="1">
      <alignment horizontal="right" wrapText="1"/>
    </xf>
    <xf numFmtId="165" fontId="2" fillId="0" borderId="2" xfId="0" applyNumberFormat="1" applyFont="1" applyBorder="1" applyAlignment="1">
      <alignment horizontal="right" wrapText="1"/>
    </xf>
    <xf numFmtId="10" fontId="2" fillId="0" borderId="2" xfId="0" applyNumberFormat="1" applyFont="1" applyBorder="1" applyAlignment="1">
      <alignment horizontal="right" wrapText="1"/>
    </xf>
    <xf numFmtId="165" fontId="2" fillId="0" borderId="3" xfId="0" applyNumberFormat="1" applyFont="1" applyBorder="1" applyAlignment="1">
      <alignment horizontal="right" wrapText="1"/>
    </xf>
    <xf numFmtId="10" fontId="2" fillId="0" borderId="3" xfId="0" applyNumberFormat="1" applyFont="1" applyBorder="1" applyAlignment="1">
      <alignment horizontal="right" wrapText="1"/>
    </xf>
    <xf numFmtId="0" fontId="1" fillId="0" borderId="1" xfId="0" applyFont="1" applyBorder="1" applyAlignment="1">
      <alignment horizontal="center"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center"/>
    </xf>
    <xf numFmtId="0" fontId="0" fillId="0" borderId="0" xfId="0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123"/>
  <sheetViews>
    <sheetView tabSelected="1" topLeftCell="A107" workbookViewId="0">
      <selection sqref="A1:Y1"/>
    </sheetView>
  </sheetViews>
  <sheetFormatPr defaultRowHeight="14.4" x14ac:dyDescent="0.3"/>
  <cols>
    <col min="1" max="1" width="36.109375" customWidth="1"/>
    <col min="2" max="3" width="9.44140625" customWidth="1"/>
    <col min="4" max="4" width="11.21875" customWidth="1"/>
    <col min="5" max="7" width="9.44140625" customWidth="1"/>
    <col min="8" max="8" width="10.33203125" customWidth="1"/>
    <col min="9" max="9" width="7.77734375" customWidth="1"/>
    <col min="10" max="11" width="9.44140625" customWidth="1"/>
    <col min="12" max="12" width="10.33203125" customWidth="1"/>
    <col min="13" max="13" width="7.77734375" customWidth="1"/>
    <col min="14" max="15" width="9.44140625" customWidth="1"/>
    <col min="16" max="16" width="9" bestFit="1" customWidth="1"/>
    <col min="17" max="17" width="7.77734375" customWidth="1"/>
    <col min="18" max="19" width="9.44140625" customWidth="1"/>
    <col min="20" max="20" width="10.33203125" customWidth="1"/>
    <col min="21" max="21" width="7.77734375" customWidth="1"/>
    <col min="22" max="23" width="10.33203125" customWidth="1"/>
    <col min="24" max="24" width="11.21875" customWidth="1"/>
    <col min="25" max="25" width="9.44140625" customWidth="1"/>
  </cols>
  <sheetData>
    <row r="1" spans="1:25" ht="17.399999999999999" x14ac:dyDescent="0.3">
      <c r="A1" s="15" t="s">
        <v>124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</row>
    <row r="2" spans="1:25" ht="17.399999999999999" x14ac:dyDescent="0.3">
      <c r="A2" s="15" t="s">
        <v>125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</row>
    <row r="3" spans="1:25" x14ac:dyDescent="0.3">
      <c r="A3" s="16" t="s">
        <v>126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</row>
    <row r="5" spans="1:25" x14ac:dyDescent="0.3">
      <c r="A5" s="1"/>
      <c r="B5" s="11" t="s">
        <v>0</v>
      </c>
      <c r="C5" s="12"/>
      <c r="D5" s="12"/>
      <c r="E5" s="12"/>
      <c r="F5" s="11" t="s">
        <v>1</v>
      </c>
      <c r="G5" s="12"/>
      <c r="H5" s="12"/>
      <c r="I5" s="12"/>
      <c r="J5" s="11" t="s">
        <v>2</v>
      </c>
      <c r="K5" s="12"/>
      <c r="L5" s="12"/>
      <c r="M5" s="12"/>
      <c r="N5" s="11" t="s">
        <v>3</v>
      </c>
      <c r="O5" s="12"/>
      <c r="P5" s="12"/>
      <c r="Q5" s="12"/>
      <c r="R5" s="11" t="s">
        <v>4</v>
      </c>
      <c r="S5" s="12"/>
      <c r="T5" s="12"/>
      <c r="U5" s="12"/>
      <c r="V5" s="11" t="s">
        <v>5</v>
      </c>
      <c r="W5" s="12"/>
      <c r="X5" s="12"/>
      <c r="Y5" s="12"/>
    </row>
    <row r="6" spans="1:25" ht="24.6" x14ac:dyDescent="0.3">
      <c r="A6" s="1"/>
      <c r="B6" s="2" t="s">
        <v>6</v>
      </c>
      <c r="C6" s="2" t="s">
        <v>7</v>
      </c>
      <c r="D6" s="2" t="s">
        <v>8</v>
      </c>
      <c r="E6" s="2" t="s">
        <v>9</v>
      </c>
      <c r="F6" s="2" t="s">
        <v>6</v>
      </c>
      <c r="G6" s="2" t="s">
        <v>7</v>
      </c>
      <c r="H6" s="2" t="s">
        <v>8</v>
      </c>
      <c r="I6" s="2" t="s">
        <v>9</v>
      </c>
      <c r="J6" s="2" t="s">
        <v>6</v>
      </c>
      <c r="K6" s="2" t="s">
        <v>7</v>
      </c>
      <c r="L6" s="2" t="s">
        <v>8</v>
      </c>
      <c r="M6" s="2" t="s">
        <v>9</v>
      </c>
      <c r="N6" s="2" t="s">
        <v>6</v>
      </c>
      <c r="O6" s="2" t="s">
        <v>7</v>
      </c>
      <c r="P6" s="2" t="s">
        <v>8</v>
      </c>
      <c r="Q6" s="2" t="s">
        <v>9</v>
      </c>
      <c r="R6" s="2" t="s">
        <v>6</v>
      </c>
      <c r="S6" s="2" t="s">
        <v>7</v>
      </c>
      <c r="T6" s="2" t="s">
        <v>8</v>
      </c>
      <c r="U6" s="2" t="s">
        <v>9</v>
      </c>
      <c r="V6" s="2" t="s">
        <v>6</v>
      </c>
      <c r="W6" s="2" t="s">
        <v>7</v>
      </c>
      <c r="X6" s="2" t="s">
        <v>8</v>
      </c>
      <c r="Y6" s="2" t="s">
        <v>9</v>
      </c>
    </row>
    <row r="7" spans="1:25" x14ac:dyDescent="0.3">
      <c r="A7" s="3" t="s">
        <v>10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</row>
    <row r="8" spans="1:25" x14ac:dyDescent="0.3">
      <c r="A8" s="3" t="s">
        <v>11</v>
      </c>
      <c r="B8" s="5">
        <f>10851.75</f>
        <v>10851.75</v>
      </c>
      <c r="C8" s="5">
        <f>20895.67</f>
        <v>20895.669999999998</v>
      </c>
      <c r="D8" s="5">
        <f t="shared" ref="D8:D14" si="0">(B8)-(C8)</f>
        <v>-10043.919999999998</v>
      </c>
      <c r="E8" s="6">
        <f t="shared" ref="E8:E14" si="1">IF(C8=0,"",(B8)/(C8))</f>
        <v>0.51933008130392566</v>
      </c>
      <c r="F8" s="5">
        <f>15428.4</f>
        <v>15428.4</v>
      </c>
      <c r="G8" s="5">
        <f>20895.67</f>
        <v>20895.669999999998</v>
      </c>
      <c r="H8" s="5">
        <f t="shared" ref="H8:H14" si="2">(F8)-(G8)</f>
        <v>-5467.2699999999986</v>
      </c>
      <c r="I8" s="6">
        <f t="shared" ref="I8:I14" si="3">IF(G8=0,"",(F8)/(G8))</f>
        <v>0.73835392691404489</v>
      </c>
      <c r="J8" s="5">
        <f>19745.34</f>
        <v>19745.34</v>
      </c>
      <c r="K8" s="5">
        <f>20895.67</f>
        <v>20895.669999999998</v>
      </c>
      <c r="L8" s="5">
        <f t="shared" ref="L8:L14" si="4">(J8)-(K8)</f>
        <v>-1150.3299999999981</v>
      </c>
      <c r="M8" s="6">
        <f t="shared" ref="M8:M14" si="5">IF(K8=0,"",(J8)/(K8))</f>
        <v>0.94494888175397107</v>
      </c>
      <c r="N8" s="5">
        <f>22173.16</f>
        <v>22173.16</v>
      </c>
      <c r="O8" s="5">
        <f>20895.67</f>
        <v>20895.669999999998</v>
      </c>
      <c r="P8" s="5">
        <f t="shared" ref="P8:P14" si="6">(N8)-(O8)</f>
        <v>1277.4900000000016</v>
      </c>
      <c r="Q8" s="6">
        <f t="shared" ref="Q8:Q14" si="7">IF(O8=0,"",(N8)/(O8))</f>
        <v>1.0611365895422353</v>
      </c>
      <c r="R8" s="5">
        <f>17015.27</f>
        <v>17015.27</v>
      </c>
      <c r="S8" s="5">
        <f>20895.67</f>
        <v>20895.669999999998</v>
      </c>
      <c r="T8" s="5">
        <f t="shared" ref="T8:T14" si="8">(R8)-(S8)</f>
        <v>-3880.3999999999978</v>
      </c>
      <c r="U8" s="6">
        <f t="shared" ref="U8:U14" si="9">IF(S8=0,"",(R8)/(S8))</f>
        <v>0.81429645472004497</v>
      </c>
      <c r="V8" s="5">
        <f t="shared" ref="V8:W14" si="10">((((B8)+(F8))+(J8))+(N8))+(R8)</f>
        <v>85213.920000000013</v>
      </c>
      <c r="W8" s="5">
        <f t="shared" si="10"/>
        <v>104478.34999999999</v>
      </c>
      <c r="X8" s="5">
        <f t="shared" ref="X8:X14" si="11">(V8)-(W8)</f>
        <v>-19264.429999999978</v>
      </c>
      <c r="Y8" s="6">
        <f t="shared" ref="Y8:Y14" si="12">IF(W8=0,"",(V8)/(W8))</f>
        <v>0.81561318684684458</v>
      </c>
    </row>
    <row r="9" spans="1:25" x14ac:dyDescent="0.3">
      <c r="A9" s="3" t="s">
        <v>12</v>
      </c>
      <c r="B9" s="5">
        <f>5843.26</f>
        <v>5843.26</v>
      </c>
      <c r="C9" s="5">
        <f>11251.42</f>
        <v>11251.42</v>
      </c>
      <c r="D9" s="5">
        <f t="shared" si="0"/>
        <v>-5408.16</v>
      </c>
      <c r="E9" s="6">
        <f t="shared" si="1"/>
        <v>0.51933533722854541</v>
      </c>
      <c r="F9" s="5">
        <f>8307.61</f>
        <v>8307.61</v>
      </c>
      <c r="G9" s="5">
        <f>11251.42</f>
        <v>11251.42</v>
      </c>
      <c r="H9" s="5">
        <f t="shared" si="2"/>
        <v>-2943.8099999999995</v>
      </c>
      <c r="I9" s="6">
        <f t="shared" si="3"/>
        <v>0.73836102465288833</v>
      </c>
      <c r="J9" s="5">
        <f>10632.11</f>
        <v>10632.11</v>
      </c>
      <c r="K9" s="5">
        <f>11251.42</f>
        <v>11251.42</v>
      </c>
      <c r="L9" s="5">
        <f t="shared" si="4"/>
        <v>-619.30999999999949</v>
      </c>
      <c r="M9" s="6">
        <f t="shared" si="5"/>
        <v>0.94495716985056111</v>
      </c>
      <c r="N9" s="5">
        <f>11939.39</f>
        <v>11939.39</v>
      </c>
      <c r="O9" s="5">
        <f>11251.42</f>
        <v>11251.42</v>
      </c>
      <c r="P9" s="5">
        <f t="shared" si="6"/>
        <v>687.96999999999935</v>
      </c>
      <c r="Q9" s="6">
        <f t="shared" si="7"/>
        <v>1.0611451710095259</v>
      </c>
      <c r="R9" s="5">
        <f>9162.08</f>
        <v>9162.08</v>
      </c>
      <c r="S9" s="5">
        <f>11251.42</f>
        <v>11251.42</v>
      </c>
      <c r="T9" s="5">
        <f t="shared" si="8"/>
        <v>-2089.34</v>
      </c>
      <c r="U9" s="6">
        <f t="shared" si="9"/>
        <v>0.81430432780928985</v>
      </c>
      <c r="V9" s="5">
        <f t="shared" si="10"/>
        <v>45884.450000000004</v>
      </c>
      <c r="W9" s="5">
        <f t="shared" si="10"/>
        <v>56257.1</v>
      </c>
      <c r="X9" s="5">
        <f t="shared" si="11"/>
        <v>-10372.649999999994</v>
      </c>
      <c r="Y9" s="6">
        <f t="shared" si="12"/>
        <v>0.81562060611016218</v>
      </c>
    </row>
    <row r="10" spans="1:25" x14ac:dyDescent="0.3">
      <c r="A10" s="3" t="s">
        <v>13</v>
      </c>
      <c r="B10" s="4"/>
      <c r="C10" s="5">
        <f>0</f>
        <v>0</v>
      </c>
      <c r="D10" s="5">
        <f t="shared" si="0"/>
        <v>0</v>
      </c>
      <c r="E10" s="6" t="str">
        <f t="shared" si="1"/>
        <v/>
      </c>
      <c r="F10" s="4"/>
      <c r="G10" s="5">
        <f>0</f>
        <v>0</v>
      </c>
      <c r="H10" s="5">
        <f t="shared" si="2"/>
        <v>0</v>
      </c>
      <c r="I10" s="6" t="str">
        <f t="shared" si="3"/>
        <v/>
      </c>
      <c r="J10" s="4"/>
      <c r="K10" s="5">
        <f>0</f>
        <v>0</v>
      </c>
      <c r="L10" s="5">
        <f t="shared" si="4"/>
        <v>0</v>
      </c>
      <c r="M10" s="6" t="str">
        <f t="shared" si="5"/>
        <v/>
      </c>
      <c r="N10" s="4"/>
      <c r="O10" s="5">
        <f>0</f>
        <v>0</v>
      </c>
      <c r="P10" s="5">
        <f t="shared" si="6"/>
        <v>0</v>
      </c>
      <c r="Q10" s="6" t="str">
        <f t="shared" si="7"/>
        <v/>
      </c>
      <c r="R10" s="4"/>
      <c r="S10" s="5">
        <f>2500</f>
        <v>2500</v>
      </c>
      <c r="T10" s="5">
        <f t="shared" si="8"/>
        <v>-2500</v>
      </c>
      <c r="U10" s="6">
        <f t="shared" si="9"/>
        <v>0</v>
      </c>
      <c r="V10" s="5">
        <f t="shared" si="10"/>
        <v>0</v>
      </c>
      <c r="W10" s="5">
        <f t="shared" si="10"/>
        <v>2500</v>
      </c>
      <c r="X10" s="5">
        <f t="shared" si="11"/>
        <v>-2500</v>
      </c>
      <c r="Y10" s="6">
        <f t="shared" si="12"/>
        <v>0</v>
      </c>
    </row>
    <row r="11" spans="1:25" x14ac:dyDescent="0.3">
      <c r="A11" s="3" t="s">
        <v>14</v>
      </c>
      <c r="B11" s="5">
        <f>0.54</f>
        <v>0.54</v>
      </c>
      <c r="C11" s="4"/>
      <c r="D11" s="5">
        <f t="shared" si="0"/>
        <v>0.54</v>
      </c>
      <c r="E11" s="6" t="str">
        <f t="shared" si="1"/>
        <v/>
      </c>
      <c r="F11" s="4"/>
      <c r="G11" s="4"/>
      <c r="H11" s="5">
        <f t="shared" si="2"/>
        <v>0</v>
      </c>
      <c r="I11" s="6" t="str">
        <f t="shared" si="3"/>
        <v/>
      </c>
      <c r="J11" s="4"/>
      <c r="K11" s="4"/>
      <c r="L11" s="5">
        <f t="shared" si="4"/>
        <v>0</v>
      </c>
      <c r="M11" s="6" t="str">
        <f t="shared" si="5"/>
        <v/>
      </c>
      <c r="N11" s="4"/>
      <c r="O11" s="4"/>
      <c r="P11" s="5">
        <f t="shared" si="6"/>
        <v>0</v>
      </c>
      <c r="Q11" s="6" t="str">
        <f t="shared" si="7"/>
        <v/>
      </c>
      <c r="R11" s="4"/>
      <c r="S11" s="4"/>
      <c r="T11" s="5">
        <f t="shared" si="8"/>
        <v>0</v>
      </c>
      <c r="U11" s="6" t="str">
        <f t="shared" si="9"/>
        <v/>
      </c>
      <c r="V11" s="5">
        <f t="shared" si="10"/>
        <v>0.54</v>
      </c>
      <c r="W11" s="5">
        <f t="shared" si="10"/>
        <v>0</v>
      </c>
      <c r="X11" s="5">
        <f t="shared" si="11"/>
        <v>0.54</v>
      </c>
      <c r="Y11" s="6" t="str">
        <f t="shared" si="12"/>
        <v/>
      </c>
    </row>
    <row r="12" spans="1:25" x14ac:dyDescent="0.3">
      <c r="A12" s="3" t="s">
        <v>15</v>
      </c>
      <c r="B12" s="5">
        <f>0</f>
        <v>0</v>
      </c>
      <c r="C12" s="4"/>
      <c r="D12" s="5">
        <f t="shared" si="0"/>
        <v>0</v>
      </c>
      <c r="E12" s="6" t="str">
        <f t="shared" si="1"/>
        <v/>
      </c>
      <c r="F12" s="4"/>
      <c r="G12" s="4"/>
      <c r="H12" s="5">
        <f t="shared" si="2"/>
        <v>0</v>
      </c>
      <c r="I12" s="6" t="str">
        <f t="shared" si="3"/>
        <v/>
      </c>
      <c r="J12" s="4"/>
      <c r="K12" s="4"/>
      <c r="L12" s="5">
        <f t="shared" si="4"/>
        <v>0</v>
      </c>
      <c r="M12" s="6" t="str">
        <f t="shared" si="5"/>
        <v/>
      </c>
      <c r="N12" s="4"/>
      <c r="O12" s="4"/>
      <c r="P12" s="5">
        <f t="shared" si="6"/>
        <v>0</v>
      </c>
      <c r="Q12" s="6" t="str">
        <f t="shared" si="7"/>
        <v/>
      </c>
      <c r="R12" s="4"/>
      <c r="S12" s="4"/>
      <c r="T12" s="5">
        <f t="shared" si="8"/>
        <v>0</v>
      </c>
      <c r="U12" s="6" t="str">
        <f t="shared" si="9"/>
        <v/>
      </c>
      <c r="V12" s="5">
        <f t="shared" si="10"/>
        <v>0</v>
      </c>
      <c r="W12" s="5">
        <f t="shared" si="10"/>
        <v>0</v>
      </c>
      <c r="X12" s="5">
        <f t="shared" si="11"/>
        <v>0</v>
      </c>
      <c r="Y12" s="6" t="str">
        <f t="shared" si="12"/>
        <v/>
      </c>
    </row>
    <row r="13" spans="1:25" x14ac:dyDescent="0.3">
      <c r="A13" s="3" t="s">
        <v>16</v>
      </c>
      <c r="B13" s="7">
        <f>((((B8)+(B9))+(B10))+(B11))+(B12)</f>
        <v>16695.550000000003</v>
      </c>
      <c r="C13" s="7">
        <f>((((C8)+(C9))+(C10))+(C11))+(C12)</f>
        <v>32147.089999999997</v>
      </c>
      <c r="D13" s="7">
        <f t="shared" si="0"/>
        <v>-15451.539999999994</v>
      </c>
      <c r="E13" s="8">
        <f t="shared" si="1"/>
        <v>0.51934871865540566</v>
      </c>
      <c r="F13" s="7">
        <f>((((F8)+(F9))+(F10))+(F11))+(F12)</f>
        <v>23736.010000000002</v>
      </c>
      <c r="G13" s="7">
        <f>((((G8)+(G9))+(G10))+(G11))+(G12)</f>
        <v>32147.089999999997</v>
      </c>
      <c r="H13" s="7">
        <f t="shared" si="2"/>
        <v>-8411.0799999999945</v>
      </c>
      <c r="I13" s="8">
        <f t="shared" si="3"/>
        <v>0.73835641110906169</v>
      </c>
      <c r="J13" s="7">
        <f>((((J8)+(J9))+(J10))+(J11))+(J12)</f>
        <v>30377.45</v>
      </c>
      <c r="K13" s="7">
        <f>((((K8)+(K9))+(K10))+(K11))+(K12)</f>
        <v>32147.089999999997</v>
      </c>
      <c r="L13" s="7">
        <f t="shared" si="4"/>
        <v>-1769.6399999999958</v>
      </c>
      <c r="M13" s="8">
        <f t="shared" si="5"/>
        <v>0.94495178257192192</v>
      </c>
      <c r="N13" s="7">
        <f>((((N8)+(N9))+(N10))+(N11))+(N12)</f>
        <v>34112.550000000003</v>
      </c>
      <c r="O13" s="7">
        <f>((((O8)+(O9))+(O10))+(O11))+(O12)</f>
        <v>32147.089999999997</v>
      </c>
      <c r="P13" s="7">
        <f t="shared" si="6"/>
        <v>1965.4600000000064</v>
      </c>
      <c r="Q13" s="8">
        <f t="shared" si="7"/>
        <v>1.0611395930393701</v>
      </c>
      <c r="R13" s="7">
        <f>((((R8)+(R9))+(R10))+(R11))+(R12)</f>
        <v>26177.35</v>
      </c>
      <c r="S13" s="7">
        <f>((((S8)+(S9))+(S10))+(S11))+(S12)</f>
        <v>34647.089999999997</v>
      </c>
      <c r="T13" s="7">
        <f t="shared" si="8"/>
        <v>-8469.739999999998</v>
      </c>
      <c r="U13" s="8">
        <f t="shared" si="9"/>
        <v>0.75554252896852236</v>
      </c>
      <c r="V13" s="7">
        <f t="shared" si="10"/>
        <v>131098.91</v>
      </c>
      <c r="W13" s="7">
        <f t="shared" si="10"/>
        <v>163235.44999999998</v>
      </c>
      <c r="X13" s="7">
        <f t="shared" si="11"/>
        <v>-32136.539999999979</v>
      </c>
      <c r="Y13" s="8">
        <f t="shared" si="12"/>
        <v>0.80312769070689005</v>
      </c>
    </row>
    <row r="14" spans="1:25" x14ac:dyDescent="0.3">
      <c r="A14" s="3" t="s">
        <v>17</v>
      </c>
      <c r="B14" s="7">
        <f>(B13)-(0)</f>
        <v>16695.550000000003</v>
      </c>
      <c r="C14" s="7">
        <f>(C13)-(0)</f>
        <v>32147.089999999997</v>
      </c>
      <c r="D14" s="7">
        <f t="shared" si="0"/>
        <v>-15451.539999999994</v>
      </c>
      <c r="E14" s="8">
        <f t="shared" si="1"/>
        <v>0.51934871865540566</v>
      </c>
      <c r="F14" s="7">
        <f>(F13)-(0)</f>
        <v>23736.010000000002</v>
      </c>
      <c r="G14" s="7">
        <f>(G13)-(0)</f>
        <v>32147.089999999997</v>
      </c>
      <c r="H14" s="7">
        <f t="shared" si="2"/>
        <v>-8411.0799999999945</v>
      </c>
      <c r="I14" s="8">
        <f t="shared" si="3"/>
        <v>0.73835641110906169</v>
      </c>
      <c r="J14" s="7">
        <f>(J13)-(0)</f>
        <v>30377.45</v>
      </c>
      <c r="K14" s="7">
        <f>(K13)-(0)</f>
        <v>32147.089999999997</v>
      </c>
      <c r="L14" s="7">
        <f t="shared" si="4"/>
        <v>-1769.6399999999958</v>
      </c>
      <c r="M14" s="8">
        <f t="shared" si="5"/>
        <v>0.94495178257192192</v>
      </c>
      <c r="N14" s="7">
        <f>(N13)-(0)</f>
        <v>34112.550000000003</v>
      </c>
      <c r="O14" s="7">
        <f>(O13)-(0)</f>
        <v>32147.089999999997</v>
      </c>
      <c r="P14" s="7">
        <f t="shared" si="6"/>
        <v>1965.4600000000064</v>
      </c>
      <c r="Q14" s="8">
        <f t="shared" si="7"/>
        <v>1.0611395930393701</v>
      </c>
      <c r="R14" s="7">
        <f>(R13)-(0)</f>
        <v>26177.35</v>
      </c>
      <c r="S14" s="7">
        <f>(S13)-(0)</f>
        <v>34647.089999999997</v>
      </c>
      <c r="T14" s="7">
        <f t="shared" si="8"/>
        <v>-8469.739999999998</v>
      </c>
      <c r="U14" s="8">
        <f t="shared" si="9"/>
        <v>0.75554252896852236</v>
      </c>
      <c r="V14" s="7">
        <f t="shared" si="10"/>
        <v>131098.91</v>
      </c>
      <c r="W14" s="7">
        <f t="shared" si="10"/>
        <v>163235.44999999998</v>
      </c>
      <c r="X14" s="7">
        <f t="shared" si="11"/>
        <v>-32136.539999999979</v>
      </c>
      <c r="Y14" s="8">
        <f t="shared" si="12"/>
        <v>0.80312769070689005</v>
      </c>
    </row>
    <row r="15" spans="1:25" x14ac:dyDescent="0.3">
      <c r="A15" s="3" t="s">
        <v>18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</row>
    <row r="16" spans="1:25" x14ac:dyDescent="0.3">
      <c r="A16" s="3" t="s">
        <v>19</v>
      </c>
      <c r="B16" s="4"/>
      <c r="C16" s="4"/>
      <c r="D16" s="5">
        <f t="shared" ref="D16:D47" si="13">(B16)-(C16)</f>
        <v>0</v>
      </c>
      <c r="E16" s="6" t="str">
        <f t="shared" ref="E16:E47" si="14">IF(C16=0,"",(B16)/(C16))</f>
        <v/>
      </c>
      <c r="F16" s="4"/>
      <c r="G16" s="4"/>
      <c r="H16" s="5">
        <f t="shared" ref="H16:H47" si="15">(F16)-(G16)</f>
        <v>0</v>
      </c>
      <c r="I16" s="6" t="str">
        <f t="shared" ref="I16:I47" si="16">IF(G16=0,"",(F16)/(G16))</f>
        <v/>
      </c>
      <c r="J16" s="4"/>
      <c r="K16" s="4"/>
      <c r="L16" s="5">
        <f t="shared" ref="L16:L47" si="17">(J16)-(K16)</f>
        <v>0</v>
      </c>
      <c r="M16" s="6" t="str">
        <f t="shared" ref="M16:M47" si="18">IF(K16=0,"",(J16)/(K16))</f>
        <v/>
      </c>
      <c r="N16" s="4"/>
      <c r="O16" s="4"/>
      <c r="P16" s="5">
        <f t="shared" ref="P16:P47" si="19">(N16)-(O16)</f>
        <v>0</v>
      </c>
      <c r="Q16" s="6" t="str">
        <f t="shared" ref="Q16:Q47" si="20">IF(O16=0,"",(N16)/(O16))</f>
        <v/>
      </c>
      <c r="R16" s="4"/>
      <c r="S16" s="4"/>
      <c r="T16" s="5">
        <f t="shared" ref="T16:T47" si="21">(R16)-(S16)</f>
        <v>0</v>
      </c>
      <c r="U16" s="6" t="str">
        <f t="shared" ref="U16:U47" si="22">IF(S16=0,"",(R16)/(S16))</f>
        <v/>
      </c>
      <c r="V16" s="5">
        <f t="shared" ref="V16:V47" si="23">((((B16)+(F16))+(J16))+(N16))+(R16)</f>
        <v>0</v>
      </c>
      <c r="W16" s="5">
        <f t="shared" ref="W16:W47" si="24">((((C16)+(G16))+(K16))+(O16))+(S16)</f>
        <v>0</v>
      </c>
      <c r="X16" s="5">
        <f t="shared" ref="X16:X47" si="25">(V16)-(W16)</f>
        <v>0</v>
      </c>
      <c r="Y16" s="6" t="str">
        <f t="shared" ref="Y16:Y47" si="26">IF(W16=0,"",(V16)/(W16))</f>
        <v/>
      </c>
    </row>
    <row r="17" spans="1:25" x14ac:dyDescent="0.3">
      <c r="A17" s="3" t="s">
        <v>20</v>
      </c>
      <c r="B17" s="5">
        <f>4191.2</f>
        <v>4191.2</v>
      </c>
      <c r="C17" s="5">
        <f>9081.83</f>
        <v>9081.83</v>
      </c>
      <c r="D17" s="5">
        <f t="shared" si="13"/>
        <v>-4890.63</v>
      </c>
      <c r="E17" s="6">
        <f t="shared" si="14"/>
        <v>0.46149289295219131</v>
      </c>
      <c r="F17" s="5">
        <f>8382.4</f>
        <v>8382.4</v>
      </c>
      <c r="G17" s="5">
        <f>9081.83</f>
        <v>9081.83</v>
      </c>
      <c r="H17" s="5">
        <f t="shared" si="15"/>
        <v>-699.43000000000029</v>
      </c>
      <c r="I17" s="6">
        <f t="shared" si="16"/>
        <v>0.92298578590438263</v>
      </c>
      <c r="J17" s="5">
        <f>12573.6</f>
        <v>12573.6</v>
      </c>
      <c r="K17" s="5">
        <f>9081.83</f>
        <v>9081.83</v>
      </c>
      <c r="L17" s="5">
        <f t="shared" si="17"/>
        <v>3491.7700000000004</v>
      </c>
      <c r="M17" s="6">
        <f t="shared" si="18"/>
        <v>1.3844786788565742</v>
      </c>
      <c r="N17" s="5">
        <f>8382.4</f>
        <v>8382.4</v>
      </c>
      <c r="O17" s="5">
        <f>9081.83</f>
        <v>9081.83</v>
      </c>
      <c r="P17" s="5">
        <f t="shared" si="19"/>
        <v>-699.43000000000029</v>
      </c>
      <c r="Q17" s="6">
        <f t="shared" si="20"/>
        <v>0.92298578590438263</v>
      </c>
      <c r="R17" s="5">
        <f>8382.4</f>
        <v>8382.4</v>
      </c>
      <c r="S17" s="5">
        <f>9081.83</f>
        <v>9081.83</v>
      </c>
      <c r="T17" s="5">
        <f t="shared" si="21"/>
        <v>-699.43000000000029</v>
      </c>
      <c r="U17" s="6">
        <f t="shared" si="22"/>
        <v>0.92298578590438263</v>
      </c>
      <c r="V17" s="5">
        <f t="shared" si="23"/>
        <v>41912</v>
      </c>
      <c r="W17" s="5">
        <f t="shared" si="24"/>
        <v>45409.15</v>
      </c>
      <c r="X17" s="5">
        <f t="shared" si="25"/>
        <v>-3497.1500000000015</v>
      </c>
      <c r="Y17" s="6">
        <f t="shared" si="26"/>
        <v>0.92298578590438263</v>
      </c>
    </row>
    <row r="18" spans="1:25" x14ac:dyDescent="0.3">
      <c r="A18" s="3" t="s">
        <v>21</v>
      </c>
      <c r="B18" s="5">
        <f>2256.8</f>
        <v>2256.8000000000002</v>
      </c>
      <c r="C18" s="5">
        <f>4890.17</f>
        <v>4890.17</v>
      </c>
      <c r="D18" s="5">
        <f t="shared" si="13"/>
        <v>-2633.37</v>
      </c>
      <c r="E18" s="6">
        <f t="shared" si="14"/>
        <v>0.46149724856191099</v>
      </c>
      <c r="F18" s="5">
        <f>4513.6</f>
        <v>4513.6000000000004</v>
      </c>
      <c r="G18" s="5">
        <f>4890.17</f>
        <v>4890.17</v>
      </c>
      <c r="H18" s="5">
        <f t="shared" si="15"/>
        <v>-376.56999999999971</v>
      </c>
      <c r="I18" s="6">
        <f t="shared" si="16"/>
        <v>0.92299449712382198</v>
      </c>
      <c r="J18" s="5">
        <f>6770.4</f>
        <v>6770.4</v>
      </c>
      <c r="K18" s="5">
        <f>4890.17</f>
        <v>4890.17</v>
      </c>
      <c r="L18" s="5">
        <f t="shared" si="17"/>
        <v>1880.2299999999996</v>
      </c>
      <c r="M18" s="6">
        <f t="shared" si="18"/>
        <v>1.3844917456857326</v>
      </c>
      <c r="N18" s="5">
        <f>4513.6</f>
        <v>4513.6000000000004</v>
      </c>
      <c r="O18" s="5">
        <f>4890.17</f>
        <v>4890.17</v>
      </c>
      <c r="P18" s="5">
        <f t="shared" si="19"/>
        <v>-376.56999999999971</v>
      </c>
      <c r="Q18" s="6">
        <f t="shared" si="20"/>
        <v>0.92299449712382198</v>
      </c>
      <c r="R18" s="5">
        <f>4513.6</f>
        <v>4513.6000000000004</v>
      </c>
      <c r="S18" s="5">
        <f>4890.17</f>
        <v>4890.17</v>
      </c>
      <c r="T18" s="5">
        <f t="shared" si="21"/>
        <v>-376.56999999999971</v>
      </c>
      <c r="U18" s="6">
        <f t="shared" si="22"/>
        <v>0.92299449712382198</v>
      </c>
      <c r="V18" s="5">
        <f t="shared" si="23"/>
        <v>22568</v>
      </c>
      <c r="W18" s="5">
        <f t="shared" si="24"/>
        <v>24450.85</v>
      </c>
      <c r="X18" s="5">
        <f t="shared" si="25"/>
        <v>-1882.8499999999985</v>
      </c>
      <c r="Y18" s="6">
        <f t="shared" si="26"/>
        <v>0.92299449712382198</v>
      </c>
    </row>
    <row r="19" spans="1:25" x14ac:dyDescent="0.3">
      <c r="A19" s="3" t="s">
        <v>22</v>
      </c>
      <c r="B19" s="5">
        <f>0</f>
        <v>0</v>
      </c>
      <c r="C19" s="4"/>
      <c r="D19" s="5">
        <f t="shared" si="13"/>
        <v>0</v>
      </c>
      <c r="E19" s="6" t="str">
        <f t="shared" si="14"/>
        <v/>
      </c>
      <c r="F19" s="5">
        <f>0</f>
        <v>0</v>
      </c>
      <c r="G19" s="4"/>
      <c r="H19" s="5">
        <f t="shared" si="15"/>
        <v>0</v>
      </c>
      <c r="I19" s="6" t="str">
        <f t="shared" si="16"/>
        <v/>
      </c>
      <c r="J19" s="5">
        <f>0</f>
        <v>0</v>
      </c>
      <c r="K19" s="4"/>
      <c r="L19" s="5">
        <f t="shared" si="17"/>
        <v>0</v>
      </c>
      <c r="M19" s="6" t="str">
        <f t="shared" si="18"/>
        <v/>
      </c>
      <c r="N19" s="5">
        <f>0</f>
        <v>0</v>
      </c>
      <c r="O19" s="4"/>
      <c r="P19" s="5">
        <f t="shared" si="19"/>
        <v>0</v>
      </c>
      <c r="Q19" s="6" t="str">
        <f t="shared" si="20"/>
        <v/>
      </c>
      <c r="R19" s="5">
        <f>0</f>
        <v>0</v>
      </c>
      <c r="S19" s="4"/>
      <c r="T19" s="5">
        <f t="shared" si="21"/>
        <v>0</v>
      </c>
      <c r="U19" s="6" t="str">
        <f t="shared" si="22"/>
        <v/>
      </c>
      <c r="V19" s="5">
        <f t="shared" si="23"/>
        <v>0</v>
      </c>
      <c r="W19" s="5">
        <f t="shared" si="24"/>
        <v>0</v>
      </c>
      <c r="X19" s="5">
        <f t="shared" si="25"/>
        <v>0</v>
      </c>
      <c r="Y19" s="6" t="str">
        <f t="shared" si="26"/>
        <v/>
      </c>
    </row>
    <row r="20" spans="1:25" x14ac:dyDescent="0.3">
      <c r="A20" s="3" t="s">
        <v>23</v>
      </c>
      <c r="B20" s="7">
        <f>(((B16)+(B17))+(B18))+(B19)</f>
        <v>6448</v>
      </c>
      <c r="C20" s="7">
        <f>(((C16)+(C17))+(C18))+(C19)</f>
        <v>13972</v>
      </c>
      <c r="D20" s="7">
        <f t="shared" si="13"/>
        <v>-7524</v>
      </c>
      <c r="E20" s="8">
        <f t="shared" si="14"/>
        <v>0.46149441740624103</v>
      </c>
      <c r="F20" s="7">
        <f>(((F16)+(F17))+(F18))+(F19)</f>
        <v>12896</v>
      </c>
      <c r="G20" s="7">
        <f>(((G16)+(G17))+(G18))+(G19)</f>
        <v>13972</v>
      </c>
      <c r="H20" s="7">
        <f t="shared" si="15"/>
        <v>-1076</v>
      </c>
      <c r="I20" s="8">
        <f t="shared" si="16"/>
        <v>0.92298883481248206</v>
      </c>
      <c r="J20" s="7">
        <f>(((J16)+(J17))+(J18))+(J19)</f>
        <v>19344</v>
      </c>
      <c r="K20" s="7">
        <f>(((K16)+(K17))+(K18))+(K19)</f>
        <v>13972</v>
      </c>
      <c r="L20" s="7">
        <f t="shared" si="17"/>
        <v>5372</v>
      </c>
      <c r="M20" s="8">
        <f t="shared" si="18"/>
        <v>1.3844832522187231</v>
      </c>
      <c r="N20" s="7">
        <f>(((N16)+(N17))+(N18))+(N19)</f>
        <v>12896</v>
      </c>
      <c r="O20" s="7">
        <f>(((O16)+(O17))+(O18))+(O19)</f>
        <v>13972</v>
      </c>
      <c r="P20" s="7">
        <f t="shared" si="19"/>
        <v>-1076</v>
      </c>
      <c r="Q20" s="8">
        <f t="shared" si="20"/>
        <v>0.92298883481248206</v>
      </c>
      <c r="R20" s="7">
        <f>(((R16)+(R17))+(R18))+(R19)</f>
        <v>12896</v>
      </c>
      <c r="S20" s="7">
        <f>(((S16)+(S17))+(S18))+(S19)</f>
        <v>13972</v>
      </c>
      <c r="T20" s="7">
        <f t="shared" si="21"/>
        <v>-1076</v>
      </c>
      <c r="U20" s="8">
        <f t="shared" si="22"/>
        <v>0.92298883481248206</v>
      </c>
      <c r="V20" s="7">
        <f t="shared" si="23"/>
        <v>64480</v>
      </c>
      <c r="W20" s="7">
        <f t="shared" si="24"/>
        <v>69860</v>
      </c>
      <c r="X20" s="7">
        <f t="shared" si="25"/>
        <v>-5380</v>
      </c>
      <c r="Y20" s="8">
        <f t="shared" si="26"/>
        <v>0.92298883481248206</v>
      </c>
    </row>
    <row r="21" spans="1:25" x14ac:dyDescent="0.3">
      <c r="A21" s="3" t="s">
        <v>24</v>
      </c>
      <c r="B21" s="4"/>
      <c r="C21" s="4"/>
      <c r="D21" s="5">
        <f t="shared" si="13"/>
        <v>0</v>
      </c>
      <c r="E21" s="6" t="str">
        <f t="shared" si="14"/>
        <v/>
      </c>
      <c r="F21" s="4"/>
      <c r="G21" s="4"/>
      <c r="H21" s="5">
        <f t="shared" si="15"/>
        <v>0</v>
      </c>
      <c r="I21" s="6" t="str">
        <f t="shared" si="16"/>
        <v/>
      </c>
      <c r="J21" s="4"/>
      <c r="K21" s="4"/>
      <c r="L21" s="5">
        <f t="shared" si="17"/>
        <v>0</v>
      </c>
      <c r="M21" s="6" t="str">
        <f t="shared" si="18"/>
        <v/>
      </c>
      <c r="N21" s="4"/>
      <c r="O21" s="4"/>
      <c r="P21" s="5">
        <f t="shared" si="19"/>
        <v>0</v>
      </c>
      <c r="Q21" s="6" t="str">
        <f t="shared" si="20"/>
        <v/>
      </c>
      <c r="R21" s="4"/>
      <c r="S21" s="4"/>
      <c r="T21" s="5">
        <f t="shared" si="21"/>
        <v>0</v>
      </c>
      <c r="U21" s="6" t="str">
        <f t="shared" si="22"/>
        <v/>
      </c>
      <c r="V21" s="5">
        <f t="shared" si="23"/>
        <v>0</v>
      </c>
      <c r="W21" s="5">
        <f t="shared" si="24"/>
        <v>0</v>
      </c>
      <c r="X21" s="5">
        <f t="shared" si="25"/>
        <v>0</v>
      </c>
      <c r="Y21" s="6" t="str">
        <f t="shared" si="26"/>
        <v/>
      </c>
    </row>
    <row r="22" spans="1:25" x14ac:dyDescent="0.3">
      <c r="A22" s="3" t="s">
        <v>25</v>
      </c>
      <c r="B22" s="5">
        <f>236.71</f>
        <v>236.71</v>
      </c>
      <c r="C22" s="5">
        <f>563.08</f>
        <v>563.08000000000004</v>
      </c>
      <c r="D22" s="5">
        <f t="shared" si="13"/>
        <v>-326.37</v>
      </c>
      <c r="E22" s="6">
        <f t="shared" si="14"/>
        <v>0.42038431483980959</v>
      </c>
      <c r="F22" s="5">
        <f>496.56</f>
        <v>496.56</v>
      </c>
      <c r="G22" s="5">
        <f>563.08</f>
        <v>563.08000000000004</v>
      </c>
      <c r="H22" s="5">
        <f t="shared" si="15"/>
        <v>-66.520000000000039</v>
      </c>
      <c r="I22" s="6">
        <f t="shared" si="16"/>
        <v>0.88186403352987142</v>
      </c>
      <c r="J22" s="5">
        <f>744.84</f>
        <v>744.84</v>
      </c>
      <c r="K22" s="5">
        <f>563.08</f>
        <v>563.08000000000004</v>
      </c>
      <c r="L22" s="5">
        <f t="shared" si="17"/>
        <v>181.76</v>
      </c>
      <c r="M22" s="6">
        <f t="shared" si="18"/>
        <v>1.3227960502948071</v>
      </c>
      <c r="N22" s="5">
        <f>488.98</f>
        <v>488.98</v>
      </c>
      <c r="O22" s="5">
        <f>563.08</f>
        <v>563.08000000000004</v>
      </c>
      <c r="P22" s="5">
        <f t="shared" si="19"/>
        <v>-74.100000000000023</v>
      </c>
      <c r="Q22" s="6">
        <f t="shared" si="20"/>
        <v>0.8684023584570576</v>
      </c>
      <c r="R22" s="5">
        <f>488.98</f>
        <v>488.98</v>
      </c>
      <c r="S22" s="5">
        <f>563.08</f>
        <v>563.08000000000004</v>
      </c>
      <c r="T22" s="5">
        <f t="shared" si="21"/>
        <v>-74.100000000000023</v>
      </c>
      <c r="U22" s="6">
        <f t="shared" si="22"/>
        <v>0.8684023584570576</v>
      </c>
      <c r="V22" s="5">
        <f t="shared" si="23"/>
        <v>2456.0700000000002</v>
      </c>
      <c r="W22" s="5">
        <f t="shared" si="24"/>
        <v>2815.4</v>
      </c>
      <c r="X22" s="5">
        <f t="shared" si="25"/>
        <v>-359.32999999999993</v>
      </c>
      <c r="Y22" s="6">
        <f t="shared" si="26"/>
        <v>0.87236982311572075</v>
      </c>
    </row>
    <row r="23" spans="1:25" x14ac:dyDescent="0.3">
      <c r="A23" s="3" t="s">
        <v>26</v>
      </c>
      <c r="B23" s="5">
        <f>127.46</f>
        <v>127.46</v>
      </c>
      <c r="C23" s="5">
        <f>303.17</f>
        <v>303.17</v>
      </c>
      <c r="D23" s="5">
        <f t="shared" si="13"/>
        <v>-175.71000000000004</v>
      </c>
      <c r="E23" s="6">
        <f t="shared" si="14"/>
        <v>0.42042418445096807</v>
      </c>
      <c r="F23" s="5">
        <f>267.38</f>
        <v>267.38</v>
      </c>
      <c r="G23" s="5">
        <f>303.17</f>
        <v>303.17</v>
      </c>
      <c r="H23" s="5">
        <f t="shared" si="15"/>
        <v>-35.79000000000002</v>
      </c>
      <c r="I23" s="6">
        <f t="shared" si="16"/>
        <v>0.8819474222383481</v>
      </c>
      <c r="J23" s="5">
        <f>401.07</f>
        <v>401.07</v>
      </c>
      <c r="K23" s="5">
        <f>303.17</f>
        <v>303.17</v>
      </c>
      <c r="L23" s="5">
        <f t="shared" si="17"/>
        <v>97.899999999999977</v>
      </c>
      <c r="M23" s="6">
        <f t="shared" si="18"/>
        <v>1.3229211333575221</v>
      </c>
      <c r="N23" s="5">
        <f>263.3</f>
        <v>263.3</v>
      </c>
      <c r="O23" s="5">
        <f>303.17</f>
        <v>303.17</v>
      </c>
      <c r="P23" s="5">
        <f t="shared" si="19"/>
        <v>-39.870000000000005</v>
      </c>
      <c r="Q23" s="6">
        <f t="shared" si="20"/>
        <v>0.86848962628228388</v>
      </c>
      <c r="R23" s="5">
        <f>263.3</f>
        <v>263.3</v>
      </c>
      <c r="S23" s="5">
        <f>303.17</f>
        <v>303.17</v>
      </c>
      <c r="T23" s="5">
        <f t="shared" si="21"/>
        <v>-39.870000000000005</v>
      </c>
      <c r="U23" s="6">
        <f t="shared" si="22"/>
        <v>0.86848962628228388</v>
      </c>
      <c r="V23" s="5">
        <f t="shared" si="23"/>
        <v>1322.51</v>
      </c>
      <c r="W23" s="5">
        <f t="shared" si="24"/>
        <v>1515.8500000000001</v>
      </c>
      <c r="X23" s="5">
        <f t="shared" si="25"/>
        <v>-193.34000000000015</v>
      </c>
      <c r="Y23" s="6">
        <f t="shared" si="26"/>
        <v>0.87245439852228113</v>
      </c>
    </row>
    <row r="24" spans="1:25" x14ac:dyDescent="0.3">
      <c r="A24" s="3" t="s">
        <v>27</v>
      </c>
      <c r="B24" s="5">
        <f>0</f>
        <v>0</v>
      </c>
      <c r="C24" s="4"/>
      <c r="D24" s="5">
        <f t="shared" si="13"/>
        <v>0</v>
      </c>
      <c r="E24" s="6" t="str">
        <f t="shared" si="14"/>
        <v/>
      </c>
      <c r="F24" s="5">
        <f>0</f>
        <v>0</v>
      </c>
      <c r="G24" s="4"/>
      <c r="H24" s="5">
        <f t="shared" si="15"/>
        <v>0</v>
      </c>
      <c r="I24" s="6" t="str">
        <f t="shared" si="16"/>
        <v/>
      </c>
      <c r="J24" s="5">
        <f>0</f>
        <v>0</v>
      </c>
      <c r="K24" s="4"/>
      <c r="L24" s="5">
        <f t="shared" si="17"/>
        <v>0</v>
      </c>
      <c r="M24" s="6" t="str">
        <f t="shared" si="18"/>
        <v/>
      </c>
      <c r="N24" s="5">
        <f>0</f>
        <v>0</v>
      </c>
      <c r="O24" s="4"/>
      <c r="P24" s="5">
        <f t="shared" si="19"/>
        <v>0</v>
      </c>
      <c r="Q24" s="6" t="str">
        <f t="shared" si="20"/>
        <v/>
      </c>
      <c r="R24" s="5">
        <f>0</f>
        <v>0</v>
      </c>
      <c r="S24" s="4"/>
      <c r="T24" s="5">
        <f t="shared" si="21"/>
        <v>0</v>
      </c>
      <c r="U24" s="6" t="str">
        <f t="shared" si="22"/>
        <v/>
      </c>
      <c r="V24" s="5">
        <f t="shared" si="23"/>
        <v>0</v>
      </c>
      <c r="W24" s="5">
        <f t="shared" si="24"/>
        <v>0</v>
      </c>
      <c r="X24" s="5">
        <f t="shared" si="25"/>
        <v>0</v>
      </c>
      <c r="Y24" s="6" t="str">
        <f t="shared" si="26"/>
        <v/>
      </c>
    </row>
    <row r="25" spans="1:25" x14ac:dyDescent="0.3">
      <c r="A25" s="3" t="s">
        <v>28</v>
      </c>
      <c r="B25" s="7">
        <f>(((B21)+(B22))+(B23))+(B24)</f>
        <v>364.17</v>
      </c>
      <c r="C25" s="7">
        <f>(((C21)+(C22))+(C23))+(C24)</f>
        <v>866.25</v>
      </c>
      <c r="D25" s="7">
        <f t="shared" si="13"/>
        <v>-502.08</v>
      </c>
      <c r="E25" s="8">
        <f t="shared" si="14"/>
        <v>0.42039826839826844</v>
      </c>
      <c r="F25" s="7">
        <f>(((F21)+(F22))+(F23))+(F24)</f>
        <v>763.94</v>
      </c>
      <c r="G25" s="7">
        <f>(((G21)+(G22))+(G23))+(G24)</f>
        <v>866.25</v>
      </c>
      <c r="H25" s="7">
        <f t="shared" si="15"/>
        <v>-102.30999999999995</v>
      </c>
      <c r="I25" s="8">
        <f t="shared" si="16"/>
        <v>0.88189321789321795</v>
      </c>
      <c r="J25" s="7">
        <f>(((J21)+(J22))+(J23))+(J24)</f>
        <v>1145.9100000000001</v>
      </c>
      <c r="K25" s="7">
        <f>(((K21)+(K22))+(K23))+(K24)</f>
        <v>866.25</v>
      </c>
      <c r="L25" s="7">
        <f t="shared" si="17"/>
        <v>279.66000000000008</v>
      </c>
      <c r="M25" s="8">
        <f t="shared" si="18"/>
        <v>1.3228398268398269</v>
      </c>
      <c r="N25" s="7">
        <f>(((N21)+(N22))+(N23))+(N24)</f>
        <v>752.28</v>
      </c>
      <c r="O25" s="7">
        <f>(((O21)+(O22))+(O23))+(O24)</f>
        <v>866.25</v>
      </c>
      <c r="P25" s="7">
        <f t="shared" si="19"/>
        <v>-113.97000000000003</v>
      </c>
      <c r="Q25" s="8">
        <f t="shared" si="20"/>
        <v>0.86843290043290045</v>
      </c>
      <c r="R25" s="7">
        <f>(((R21)+(R22))+(R23))+(R24)</f>
        <v>752.28</v>
      </c>
      <c r="S25" s="7">
        <f>(((S21)+(S22))+(S23))+(S24)</f>
        <v>866.25</v>
      </c>
      <c r="T25" s="7">
        <f t="shared" si="21"/>
        <v>-113.97000000000003</v>
      </c>
      <c r="U25" s="8">
        <f t="shared" si="22"/>
        <v>0.86843290043290045</v>
      </c>
      <c r="V25" s="7">
        <f t="shared" si="23"/>
        <v>3778.58</v>
      </c>
      <c r="W25" s="7">
        <f t="shared" si="24"/>
        <v>4331.25</v>
      </c>
      <c r="X25" s="7">
        <f t="shared" si="25"/>
        <v>-552.67000000000007</v>
      </c>
      <c r="Y25" s="8">
        <f t="shared" si="26"/>
        <v>0.87239942279942273</v>
      </c>
    </row>
    <row r="26" spans="1:25" x14ac:dyDescent="0.3">
      <c r="A26" s="3" t="s">
        <v>29</v>
      </c>
      <c r="B26" s="4"/>
      <c r="C26" s="4"/>
      <c r="D26" s="5">
        <f t="shared" si="13"/>
        <v>0</v>
      </c>
      <c r="E26" s="6" t="str">
        <f t="shared" si="14"/>
        <v/>
      </c>
      <c r="F26" s="4"/>
      <c r="G26" s="4"/>
      <c r="H26" s="5">
        <f t="shared" si="15"/>
        <v>0</v>
      </c>
      <c r="I26" s="6" t="str">
        <f t="shared" si="16"/>
        <v/>
      </c>
      <c r="J26" s="4"/>
      <c r="K26" s="4"/>
      <c r="L26" s="5">
        <f t="shared" si="17"/>
        <v>0</v>
      </c>
      <c r="M26" s="6" t="str">
        <f t="shared" si="18"/>
        <v/>
      </c>
      <c r="N26" s="4"/>
      <c r="O26" s="4"/>
      <c r="P26" s="5">
        <f t="shared" si="19"/>
        <v>0</v>
      </c>
      <c r="Q26" s="6" t="str">
        <f t="shared" si="20"/>
        <v/>
      </c>
      <c r="R26" s="4"/>
      <c r="S26" s="4"/>
      <c r="T26" s="5">
        <f t="shared" si="21"/>
        <v>0</v>
      </c>
      <c r="U26" s="6" t="str">
        <f t="shared" si="22"/>
        <v/>
      </c>
      <c r="V26" s="5">
        <f t="shared" si="23"/>
        <v>0</v>
      </c>
      <c r="W26" s="5">
        <f t="shared" si="24"/>
        <v>0</v>
      </c>
      <c r="X26" s="5">
        <f t="shared" si="25"/>
        <v>0</v>
      </c>
      <c r="Y26" s="6" t="str">
        <f t="shared" si="26"/>
        <v/>
      </c>
    </row>
    <row r="27" spans="1:25" x14ac:dyDescent="0.3">
      <c r="A27" s="3" t="s">
        <v>30</v>
      </c>
      <c r="B27" s="5">
        <f>55.36</f>
        <v>55.36</v>
      </c>
      <c r="C27" s="5">
        <f>131.67</f>
        <v>131.66999999999999</v>
      </c>
      <c r="D27" s="5">
        <f t="shared" si="13"/>
        <v>-76.309999999999988</v>
      </c>
      <c r="E27" s="6">
        <f t="shared" si="14"/>
        <v>0.42044505202399945</v>
      </c>
      <c r="F27" s="5">
        <f>116.13</f>
        <v>116.13</v>
      </c>
      <c r="G27" s="5">
        <f>131.67</f>
        <v>131.66999999999999</v>
      </c>
      <c r="H27" s="5">
        <f t="shared" si="15"/>
        <v>-15.539999999999992</v>
      </c>
      <c r="I27" s="6">
        <f t="shared" si="16"/>
        <v>0.88197767145135575</v>
      </c>
      <c r="J27" s="5">
        <f>174.19</f>
        <v>174.19</v>
      </c>
      <c r="K27" s="5">
        <f>131.67</f>
        <v>131.66999999999999</v>
      </c>
      <c r="L27" s="5">
        <f t="shared" si="17"/>
        <v>42.52000000000001</v>
      </c>
      <c r="M27" s="6">
        <f t="shared" si="18"/>
        <v>1.3229285334548493</v>
      </c>
      <c r="N27" s="5">
        <f>114.36</f>
        <v>114.36</v>
      </c>
      <c r="O27" s="5">
        <f>131.67</f>
        <v>131.66999999999999</v>
      </c>
      <c r="P27" s="5">
        <f t="shared" si="19"/>
        <v>-17.309999999999988</v>
      </c>
      <c r="Q27" s="6">
        <f t="shared" si="20"/>
        <v>0.86853497379813183</v>
      </c>
      <c r="R27" s="5">
        <f>114.36</f>
        <v>114.36</v>
      </c>
      <c r="S27" s="5">
        <f>131.67</f>
        <v>131.66999999999999</v>
      </c>
      <c r="T27" s="5">
        <f t="shared" si="21"/>
        <v>-17.309999999999988</v>
      </c>
      <c r="U27" s="6">
        <f t="shared" si="22"/>
        <v>0.86853497379813183</v>
      </c>
      <c r="V27" s="5">
        <f t="shared" si="23"/>
        <v>574.4</v>
      </c>
      <c r="W27" s="5">
        <f t="shared" si="24"/>
        <v>658.34999999999991</v>
      </c>
      <c r="X27" s="5">
        <f t="shared" si="25"/>
        <v>-83.949999999999932</v>
      </c>
      <c r="Y27" s="6">
        <f t="shared" si="26"/>
        <v>0.87248424090529364</v>
      </c>
    </row>
    <row r="28" spans="1:25" x14ac:dyDescent="0.3">
      <c r="A28" s="3" t="s">
        <v>31</v>
      </c>
      <c r="B28" s="5">
        <f>29.81</f>
        <v>29.81</v>
      </c>
      <c r="C28" s="5">
        <f>70.92</f>
        <v>70.92</v>
      </c>
      <c r="D28" s="5">
        <f t="shared" si="13"/>
        <v>-41.11</v>
      </c>
      <c r="E28" s="6">
        <f t="shared" si="14"/>
        <v>0.42033276931754088</v>
      </c>
      <c r="F28" s="5">
        <f>62.53</f>
        <v>62.53</v>
      </c>
      <c r="G28" s="5">
        <f>70.92</f>
        <v>70.92</v>
      </c>
      <c r="H28" s="5">
        <f t="shared" si="15"/>
        <v>-8.39</v>
      </c>
      <c r="I28" s="6">
        <f t="shared" si="16"/>
        <v>0.88169768753525102</v>
      </c>
      <c r="J28" s="5">
        <f>93.8</f>
        <v>93.8</v>
      </c>
      <c r="K28" s="5">
        <f>70.92</f>
        <v>70.92</v>
      </c>
      <c r="L28" s="5">
        <f t="shared" si="17"/>
        <v>22.879999999999995</v>
      </c>
      <c r="M28" s="6">
        <f t="shared" si="18"/>
        <v>1.3226170332769316</v>
      </c>
      <c r="N28" s="5">
        <f>61.58</f>
        <v>61.58</v>
      </c>
      <c r="O28" s="5">
        <f>70.92</f>
        <v>70.92</v>
      </c>
      <c r="P28" s="5">
        <f t="shared" si="19"/>
        <v>-9.3400000000000034</v>
      </c>
      <c r="Q28" s="6">
        <f t="shared" si="20"/>
        <v>0.86830231246474898</v>
      </c>
      <c r="R28" s="5">
        <f>61.58</f>
        <v>61.58</v>
      </c>
      <c r="S28" s="5">
        <f>70.92</f>
        <v>70.92</v>
      </c>
      <c r="T28" s="5">
        <f t="shared" si="21"/>
        <v>-9.3400000000000034</v>
      </c>
      <c r="U28" s="6">
        <f t="shared" si="22"/>
        <v>0.86830231246474898</v>
      </c>
      <c r="V28" s="5">
        <f t="shared" si="23"/>
        <v>309.29999999999995</v>
      </c>
      <c r="W28" s="5">
        <f t="shared" si="24"/>
        <v>354.6</v>
      </c>
      <c r="X28" s="5">
        <f t="shared" si="25"/>
        <v>-45.300000000000068</v>
      </c>
      <c r="Y28" s="6">
        <f t="shared" si="26"/>
        <v>0.87225042301184419</v>
      </c>
    </row>
    <row r="29" spans="1:25" x14ac:dyDescent="0.3">
      <c r="A29" s="3" t="s">
        <v>32</v>
      </c>
      <c r="B29" s="5">
        <f>0</f>
        <v>0</v>
      </c>
      <c r="C29" s="4"/>
      <c r="D29" s="5">
        <f t="shared" si="13"/>
        <v>0</v>
      </c>
      <c r="E29" s="6" t="str">
        <f t="shared" si="14"/>
        <v/>
      </c>
      <c r="F29" s="5">
        <f>0</f>
        <v>0</v>
      </c>
      <c r="G29" s="4"/>
      <c r="H29" s="5">
        <f t="shared" si="15"/>
        <v>0</v>
      </c>
      <c r="I29" s="6" t="str">
        <f t="shared" si="16"/>
        <v/>
      </c>
      <c r="J29" s="5">
        <f>0</f>
        <v>0</v>
      </c>
      <c r="K29" s="4"/>
      <c r="L29" s="5">
        <f t="shared" si="17"/>
        <v>0</v>
      </c>
      <c r="M29" s="6" t="str">
        <f t="shared" si="18"/>
        <v/>
      </c>
      <c r="N29" s="5">
        <f>0</f>
        <v>0</v>
      </c>
      <c r="O29" s="4"/>
      <c r="P29" s="5">
        <f t="shared" si="19"/>
        <v>0</v>
      </c>
      <c r="Q29" s="6" t="str">
        <f t="shared" si="20"/>
        <v/>
      </c>
      <c r="R29" s="5">
        <f>0</f>
        <v>0</v>
      </c>
      <c r="S29" s="4"/>
      <c r="T29" s="5">
        <f t="shared" si="21"/>
        <v>0</v>
      </c>
      <c r="U29" s="6" t="str">
        <f t="shared" si="22"/>
        <v/>
      </c>
      <c r="V29" s="5">
        <f t="shared" si="23"/>
        <v>0</v>
      </c>
      <c r="W29" s="5">
        <f t="shared" si="24"/>
        <v>0</v>
      </c>
      <c r="X29" s="5">
        <f t="shared" si="25"/>
        <v>0</v>
      </c>
      <c r="Y29" s="6" t="str">
        <f t="shared" si="26"/>
        <v/>
      </c>
    </row>
    <row r="30" spans="1:25" x14ac:dyDescent="0.3">
      <c r="A30" s="3" t="s">
        <v>33</v>
      </c>
      <c r="B30" s="7">
        <f>(((B26)+(B27))+(B28))+(B29)</f>
        <v>85.17</v>
      </c>
      <c r="C30" s="7">
        <f>(((C26)+(C27))+(C28))+(C29)</f>
        <v>202.58999999999997</v>
      </c>
      <c r="D30" s="7">
        <f t="shared" si="13"/>
        <v>-117.41999999999997</v>
      </c>
      <c r="E30" s="8">
        <f t="shared" si="14"/>
        <v>0.42040574559455063</v>
      </c>
      <c r="F30" s="7">
        <f>(((F26)+(F27))+(F28))+(F29)</f>
        <v>178.66</v>
      </c>
      <c r="G30" s="7">
        <f>(((G26)+(G27))+(G28))+(G29)</f>
        <v>202.58999999999997</v>
      </c>
      <c r="H30" s="7">
        <f t="shared" si="15"/>
        <v>-23.929999999999978</v>
      </c>
      <c r="I30" s="8">
        <f t="shared" si="16"/>
        <v>0.88187965842341687</v>
      </c>
      <c r="J30" s="7">
        <f>(((J26)+(J27))+(J28))+(J29)</f>
        <v>267.99</v>
      </c>
      <c r="K30" s="7">
        <f>(((K26)+(K27))+(K28))+(K29)</f>
        <v>202.58999999999997</v>
      </c>
      <c r="L30" s="7">
        <f t="shared" si="17"/>
        <v>65.400000000000034</v>
      </c>
      <c r="M30" s="8">
        <f t="shared" si="18"/>
        <v>1.3228194876351254</v>
      </c>
      <c r="N30" s="7">
        <f>(((N26)+(N27))+(N28))+(N29)</f>
        <v>175.94</v>
      </c>
      <c r="O30" s="7">
        <f>(((O26)+(O27))+(O28))+(O29)</f>
        <v>202.58999999999997</v>
      </c>
      <c r="P30" s="7">
        <f t="shared" si="19"/>
        <v>-26.649999999999977</v>
      </c>
      <c r="Q30" s="8">
        <f t="shared" si="20"/>
        <v>0.86845352682758292</v>
      </c>
      <c r="R30" s="7">
        <f>(((R26)+(R27))+(R28))+(R29)</f>
        <v>175.94</v>
      </c>
      <c r="S30" s="7">
        <f>(((S26)+(S27))+(S28))+(S29)</f>
        <v>202.58999999999997</v>
      </c>
      <c r="T30" s="7">
        <f t="shared" si="21"/>
        <v>-26.649999999999977</v>
      </c>
      <c r="U30" s="8">
        <f t="shared" si="22"/>
        <v>0.86845352682758292</v>
      </c>
      <c r="V30" s="7">
        <f t="shared" si="23"/>
        <v>883.7</v>
      </c>
      <c r="W30" s="7">
        <f t="shared" si="24"/>
        <v>1012.9499999999998</v>
      </c>
      <c r="X30" s="7">
        <f t="shared" si="25"/>
        <v>-129.24999999999977</v>
      </c>
      <c r="Y30" s="8">
        <f t="shared" si="26"/>
        <v>0.8724023890616518</v>
      </c>
    </row>
    <row r="31" spans="1:25" x14ac:dyDescent="0.3">
      <c r="A31" s="3" t="s">
        <v>34</v>
      </c>
      <c r="B31" s="4"/>
      <c r="C31" s="4"/>
      <c r="D31" s="5">
        <f t="shared" si="13"/>
        <v>0</v>
      </c>
      <c r="E31" s="6" t="str">
        <f t="shared" si="14"/>
        <v/>
      </c>
      <c r="F31" s="4"/>
      <c r="G31" s="4"/>
      <c r="H31" s="5">
        <f t="shared" si="15"/>
        <v>0</v>
      </c>
      <c r="I31" s="6" t="str">
        <f t="shared" si="16"/>
        <v/>
      </c>
      <c r="J31" s="4"/>
      <c r="K31" s="4"/>
      <c r="L31" s="5">
        <f t="shared" si="17"/>
        <v>0</v>
      </c>
      <c r="M31" s="6" t="str">
        <f t="shared" si="18"/>
        <v/>
      </c>
      <c r="N31" s="4"/>
      <c r="O31" s="4"/>
      <c r="P31" s="5">
        <f t="shared" si="19"/>
        <v>0</v>
      </c>
      <c r="Q31" s="6" t="str">
        <f t="shared" si="20"/>
        <v/>
      </c>
      <c r="R31" s="4"/>
      <c r="S31" s="4"/>
      <c r="T31" s="5">
        <f t="shared" si="21"/>
        <v>0</v>
      </c>
      <c r="U31" s="6" t="str">
        <f t="shared" si="22"/>
        <v/>
      </c>
      <c r="V31" s="5">
        <f t="shared" si="23"/>
        <v>0</v>
      </c>
      <c r="W31" s="5">
        <f t="shared" si="24"/>
        <v>0</v>
      </c>
      <c r="X31" s="5">
        <f t="shared" si="25"/>
        <v>0</v>
      </c>
      <c r="Y31" s="6" t="str">
        <f t="shared" si="26"/>
        <v/>
      </c>
    </row>
    <row r="32" spans="1:25" x14ac:dyDescent="0.3">
      <c r="A32" s="3" t="s">
        <v>35</v>
      </c>
      <c r="B32" s="5">
        <f>0</f>
        <v>0</v>
      </c>
      <c r="C32" s="5">
        <f>113.75</f>
        <v>113.75</v>
      </c>
      <c r="D32" s="5">
        <f t="shared" si="13"/>
        <v>-113.75</v>
      </c>
      <c r="E32" s="6">
        <f t="shared" si="14"/>
        <v>0</v>
      </c>
      <c r="F32" s="4"/>
      <c r="G32" s="5">
        <f>113.75</f>
        <v>113.75</v>
      </c>
      <c r="H32" s="5">
        <f t="shared" si="15"/>
        <v>-113.75</v>
      </c>
      <c r="I32" s="6">
        <f t="shared" si="16"/>
        <v>0</v>
      </c>
      <c r="J32" s="4"/>
      <c r="K32" s="5">
        <f>113.75</f>
        <v>113.75</v>
      </c>
      <c r="L32" s="5">
        <f t="shared" si="17"/>
        <v>-113.75</v>
      </c>
      <c r="M32" s="6">
        <f t="shared" si="18"/>
        <v>0</v>
      </c>
      <c r="N32" s="5">
        <f>560.78</f>
        <v>560.78</v>
      </c>
      <c r="O32" s="5">
        <f>113.75</f>
        <v>113.75</v>
      </c>
      <c r="P32" s="5">
        <f t="shared" si="19"/>
        <v>447.03</v>
      </c>
      <c r="Q32" s="6">
        <f t="shared" si="20"/>
        <v>4.9299340659340656</v>
      </c>
      <c r="R32" s="5">
        <f>265.43</f>
        <v>265.43</v>
      </c>
      <c r="S32" s="5">
        <f>113.75</f>
        <v>113.75</v>
      </c>
      <c r="T32" s="5">
        <f t="shared" si="21"/>
        <v>151.68</v>
      </c>
      <c r="U32" s="6">
        <f t="shared" si="22"/>
        <v>2.3334505494505495</v>
      </c>
      <c r="V32" s="5">
        <f t="shared" si="23"/>
        <v>826.21</v>
      </c>
      <c r="W32" s="5">
        <f t="shared" si="24"/>
        <v>568.75</v>
      </c>
      <c r="X32" s="5">
        <f t="shared" si="25"/>
        <v>257.46000000000004</v>
      </c>
      <c r="Y32" s="6">
        <f t="shared" si="26"/>
        <v>1.4526769230769232</v>
      </c>
    </row>
    <row r="33" spans="1:25" x14ac:dyDescent="0.3">
      <c r="A33" s="3" t="s">
        <v>36</v>
      </c>
      <c r="B33" s="5">
        <f>0</f>
        <v>0</v>
      </c>
      <c r="C33" s="5">
        <f>61.25</f>
        <v>61.25</v>
      </c>
      <c r="D33" s="5">
        <f t="shared" si="13"/>
        <v>-61.25</v>
      </c>
      <c r="E33" s="6">
        <f t="shared" si="14"/>
        <v>0</v>
      </c>
      <c r="F33" s="4"/>
      <c r="G33" s="5">
        <f>61.25</f>
        <v>61.25</v>
      </c>
      <c r="H33" s="5">
        <f t="shared" si="15"/>
        <v>-61.25</v>
      </c>
      <c r="I33" s="6">
        <f t="shared" si="16"/>
        <v>0</v>
      </c>
      <c r="J33" s="4"/>
      <c r="K33" s="5">
        <f>61.25</f>
        <v>61.25</v>
      </c>
      <c r="L33" s="5">
        <f t="shared" si="17"/>
        <v>-61.25</v>
      </c>
      <c r="M33" s="6">
        <f t="shared" si="18"/>
        <v>0</v>
      </c>
      <c r="N33" s="5">
        <f>301.96</f>
        <v>301.95999999999998</v>
      </c>
      <c r="O33" s="5">
        <f>61.25</f>
        <v>61.25</v>
      </c>
      <c r="P33" s="5">
        <f t="shared" si="19"/>
        <v>240.70999999999998</v>
      </c>
      <c r="Q33" s="6">
        <f t="shared" si="20"/>
        <v>4.9299591836734686</v>
      </c>
      <c r="R33" s="5">
        <f>142.93</f>
        <v>142.93</v>
      </c>
      <c r="S33" s="5">
        <f>61.25</f>
        <v>61.25</v>
      </c>
      <c r="T33" s="5">
        <f t="shared" si="21"/>
        <v>81.680000000000007</v>
      </c>
      <c r="U33" s="6">
        <f t="shared" si="22"/>
        <v>2.3335510204081635</v>
      </c>
      <c r="V33" s="5">
        <f t="shared" si="23"/>
        <v>444.89</v>
      </c>
      <c r="W33" s="5">
        <f t="shared" si="24"/>
        <v>306.25</v>
      </c>
      <c r="X33" s="5">
        <f t="shared" si="25"/>
        <v>138.63999999999999</v>
      </c>
      <c r="Y33" s="6">
        <f t="shared" si="26"/>
        <v>1.4527020408163265</v>
      </c>
    </row>
    <row r="34" spans="1:25" x14ac:dyDescent="0.3">
      <c r="A34" s="3" t="s">
        <v>37</v>
      </c>
      <c r="B34" s="5">
        <f>0</f>
        <v>0</v>
      </c>
      <c r="C34" s="4"/>
      <c r="D34" s="5">
        <f t="shared" si="13"/>
        <v>0</v>
      </c>
      <c r="E34" s="6" t="str">
        <f t="shared" si="14"/>
        <v/>
      </c>
      <c r="F34" s="5">
        <f>0</f>
        <v>0</v>
      </c>
      <c r="G34" s="4"/>
      <c r="H34" s="5">
        <f t="shared" si="15"/>
        <v>0</v>
      </c>
      <c r="I34" s="6" t="str">
        <f t="shared" si="16"/>
        <v/>
      </c>
      <c r="J34" s="5">
        <f>0</f>
        <v>0</v>
      </c>
      <c r="K34" s="4"/>
      <c r="L34" s="5">
        <f t="shared" si="17"/>
        <v>0</v>
      </c>
      <c r="M34" s="6" t="str">
        <f t="shared" si="18"/>
        <v/>
      </c>
      <c r="N34" s="5">
        <f>0</f>
        <v>0</v>
      </c>
      <c r="O34" s="4"/>
      <c r="P34" s="5">
        <f t="shared" si="19"/>
        <v>0</v>
      </c>
      <c r="Q34" s="6" t="str">
        <f t="shared" si="20"/>
        <v/>
      </c>
      <c r="R34" s="5">
        <f>0</f>
        <v>0</v>
      </c>
      <c r="S34" s="4"/>
      <c r="T34" s="5">
        <f t="shared" si="21"/>
        <v>0</v>
      </c>
      <c r="U34" s="6" t="str">
        <f t="shared" si="22"/>
        <v/>
      </c>
      <c r="V34" s="5">
        <f t="shared" si="23"/>
        <v>0</v>
      </c>
      <c r="W34" s="5">
        <f t="shared" si="24"/>
        <v>0</v>
      </c>
      <c r="X34" s="5">
        <f t="shared" si="25"/>
        <v>0</v>
      </c>
      <c r="Y34" s="6" t="str">
        <f t="shared" si="26"/>
        <v/>
      </c>
    </row>
    <row r="35" spans="1:25" x14ac:dyDescent="0.3">
      <c r="A35" s="3" t="s">
        <v>38</v>
      </c>
      <c r="B35" s="7">
        <f>(((B31)+(B32))+(B33))+(B34)</f>
        <v>0</v>
      </c>
      <c r="C35" s="7">
        <f>(((C31)+(C32))+(C33))+(C34)</f>
        <v>175</v>
      </c>
      <c r="D35" s="7">
        <f t="shared" si="13"/>
        <v>-175</v>
      </c>
      <c r="E35" s="8">
        <f t="shared" si="14"/>
        <v>0</v>
      </c>
      <c r="F35" s="7">
        <f>(((F31)+(F32))+(F33))+(F34)</f>
        <v>0</v>
      </c>
      <c r="G35" s="7">
        <f>(((G31)+(G32))+(G33))+(G34)</f>
        <v>175</v>
      </c>
      <c r="H35" s="7">
        <f t="shared" si="15"/>
        <v>-175</v>
      </c>
      <c r="I35" s="8">
        <f t="shared" si="16"/>
        <v>0</v>
      </c>
      <c r="J35" s="7">
        <f>(((J31)+(J32))+(J33))+(J34)</f>
        <v>0</v>
      </c>
      <c r="K35" s="7">
        <f>(((K31)+(K32))+(K33))+(K34)</f>
        <v>175</v>
      </c>
      <c r="L35" s="7">
        <f t="shared" si="17"/>
        <v>-175</v>
      </c>
      <c r="M35" s="8">
        <f t="shared" si="18"/>
        <v>0</v>
      </c>
      <c r="N35" s="7">
        <f>(((N31)+(N32))+(N33))+(N34)</f>
        <v>862.74</v>
      </c>
      <c r="O35" s="7">
        <f>(((O31)+(O32))+(O33))+(O34)</f>
        <v>175</v>
      </c>
      <c r="P35" s="7">
        <f t="shared" si="19"/>
        <v>687.74</v>
      </c>
      <c r="Q35" s="8">
        <f t="shared" si="20"/>
        <v>4.9299428571428576</v>
      </c>
      <c r="R35" s="7">
        <f>(((R31)+(R32))+(R33))+(R34)</f>
        <v>408.36</v>
      </c>
      <c r="S35" s="7">
        <f>(((S31)+(S32))+(S33))+(S34)</f>
        <v>175</v>
      </c>
      <c r="T35" s="7">
        <f t="shared" si="21"/>
        <v>233.36</v>
      </c>
      <c r="U35" s="8">
        <f t="shared" si="22"/>
        <v>2.3334857142857142</v>
      </c>
      <c r="V35" s="7">
        <f t="shared" si="23"/>
        <v>1271.0999999999999</v>
      </c>
      <c r="W35" s="7">
        <f t="shared" si="24"/>
        <v>875</v>
      </c>
      <c r="X35" s="7">
        <f t="shared" si="25"/>
        <v>396.09999999999991</v>
      </c>
      <c r="Y35" s="8">
        <f t="shared" si="26"/>
        <v>1.4526857142857141</v>
      </c>
    </row>
    <row r="36" spans="1:25" x14ac:dyDescent="0.3">
      <c r="A36" s="3" t="s">
        <v>39</v>
      </c>
      <c r="B36" s="4"/>
      <c r="C36" s="4"/>
      <c r="D36" s="5">
        <f t="shared" si="13"/>
        <v>0</v>
      </c>
      <c r="E36" s="6" t="str">
        <f t="shared" si="14"/>
        <v/>
      </c>
      <c r="F36" s="4"/>
      <c r="G36" s="4"/>
      <c r="H36" s="5">
        <f t="shared" si="15"/>
        <v>0</v>
      </c>
      <c r="I36" s="6" t="str">
        <f t="shared" si="16"/>
        <v/>
      </c>
      <c r="J36" s="4"/>
      <c r="K36" s="4"/>
      <c r="L36" s="5">
        <f t="shared" si="17"/>
        <v>0</v>
      </c>
      <c r="M36" s="6" t="str">
        <f t="shared" si="18"/>
        <v/>
      </c>
      <c r="N36" s="4"/>
      <c r="O36" s="4"/>
      <c r="P36" s="5">
        <f t="shared" si="19"/>
        <v>0</v>
      </c>
      <c r="Q36" s="6" t="str">
        <f t="shared" si="20"/>
        <v/>
      </c>
      <c r="R36" s="4"/>
      <c r="S36" s="4"/>
      <c r="T36" s="5">
        <f t="shared" si="21"/>
        <v>0</v>
      </c>
      <c r="U36" s="6" t="str">
        <f t="shared" si="22"/>
        <v/>
      </c>
      <c r="V36" s="5">
        <f t="shared" si="23"/>
        <v>0</v>
      </c>
      <c r="W36" s="5">
        <f t="shared" si="24"/>
        <v>0</v>
      </c>
      <c r="X36" s="5">
        <f t="shared" si="25"/>
        <v>0</v>
      </c>
      <c r="Y36" s="6" t="str">
        <f t="shared" si="26"/>
        <v/>
      </c>
    </row>
    <row r="37" spans="1:25" x14ac:dyDescent="0.3">
      <c r="A37" s="3" t="s">
        <v>40</v>
      </c>
      <c r="B37" s="5">
        <f>44.73</f>
        <v>44.73</v>
      </c>
      <c r="C37" s="5">
        <f>45.33</f>
        <v>45.33</v>
      </c>
      <c r="D37" s="5">
        <f t="shared" si="13"/>
        <v>-0.60000000000000142</v>
      </c>
      <c r="E37" s="6">
        <f t="shared" si="14"/>
        <v>0.98676373262739903</v>
      </c>
      <c r="F37" s="5">
        <f>44.73</f>
        <v>44.73</v>
      </c>
      <c r="G37" s="5">
        <f>45.33</f>
        <v>45.33</v>
      </c>
      <c r="H37" s="5">
        <f t="shared" si="15"/>
        <v>-0.60000000000000142</v>
      </c>
      <c r="I37" s="6">
        <f t="shared" si="16"/>
        <v>0.98676373262739903</v>
      </c>
      <c r="J37" s="5">
        <f>31.26</f>
        <v>31.26</v>
      </c>
      <c r="K37" s="5">
        <f>45.33</f>
        <v>45.33</v>
      </c>
      <c r="L37" s="5">
        <f t="shared" si="17"/>
        <v>-14.069999999999997</v>
      </c>
      <c r="M37" s="6">
        <f t="shared" si="18"/>
        <v>0.68960953011250836</v>
      </c>
      <c r="N37" s="5">
        <f>50.64</f>
        <v>50.64</v>
      </c>
      <c r="O37" s="5">
        <f>45.33</f>
        <v>45.33</v>
      </c>
      <c r="P37" s="5">
        <f t="shared" si="19"/>
        <v>5.3100000000000023</v>
      </c>
      <c r="Q37" s="6">
        <f t="shared" si="20"/>
        <v>1.1171409662475182</v>
      </c>
      <c r="R37" s="5">
        <f>50.64</f>
        <v>50.64</v>
      </c>
      <c r="S37" s="5">
        <f>45.33</f>
        <v>45.33</v>
      </c>
      <c r="T37" s="5">
        <f t="shared" si="21"/>
        <v>5.3100000000000023</v>
      </c>
      <c r="U37" s="6">
        <f t="shared" si="22"/>
        <v>1.1171409662475182</v>
      </c>
      <c r="V37" s="5">
        <f t="shared" si="23"/>
        <v>222</v>
      </c>
      <c r="W37" s="5">
        <f t="shared" si="24"/>
        <v>226.64999999999998</v>
      </c>
      <c r="X37" s="5">
        <f t="shared" si="25"/>
        <v>-4.6499999999999773</v>
      </c>
      <c r="Y37" s="6">
        <f t="shared" si="26"/>
        <v>0.97948378557246862</v>
      </c>
    </row>
    <row r="38" spans="1:25" x14ac:dyDescent="0.3">
      <c r="A38" s="3" t="s">
        <v>41</v>
      </c>
      <c r="B38" s="5">
        <f>24.08</f>
        <v>24.08</v>
      </c>
      <c r="C38" s="5">
        <f>24.42</f>
        <v>24.42</v>
      </c>
      <c r="D38" s="5">
        <f t="shared" si="13"/>
        <v>-0.34000000000000341</v>
      </c>
      <c r="E38" s="6">
        <f t="shared" si="14"/>
        <v>0.98607698607698591</v>
      </c>
      <c r="F38" s="5">
        <f>24.08</f>
        <v>24.08</v>
      </c>
      <c r="G38" s="5">
        <f>24.42</f>
        <v>24.42</v>
      </c>
      <c r="H38" s="5">
        <f t="shared" si="15"/>
        <v>-0.34000000000000341</v>
      </c>
      <c r="I38" s="6">
        <f t="shared" si="16"/>
        <v>0.98607698607698591</v>
      </c>
      <c r="J38" s="5">
        <f>16.83</f>
        <v>16.829999999999998</v>
      </c>
      <c r="K38" s="5">
        <f>24.42</f>
        <v>24.42</v>
      </c>
      <c r="L38" s="5">
        <f t="shared" si="17"/>
        <v>-7.5900000000000034</v>
      </c>
      <c r="M38" s="6">
        <f t="shared" si="18"/>
        <v>0.68918918918918903</v>
      </c>
      <c r="N38" s="5">
        <f>27.27</f>
        <v>27.27</v>
      </c>
      <c r="O38" s="5">
        <f>24.42</f>
        <v>24.42</v>
      </c>
      <c r="P38" s="5">
        <f t="shared" si="19"/>
        <v>2.8499999999999979</v>
      </c>
      <c r="Q38" s="6">
        <f t="shared" si="20"/>
        <v>1.1167076167076166</v>
      </c>
      <c r="R38" s="5">
        <f>27.27</f>
        <v>27.27</v>
      </c>
      <c r="S38" s="5">
        <f>24.42</f>
        <v>24.42</v>
      </c>
      <c r="T38" s="5">
        <f t="shared" si="21"/>
        <v>2.8499999999999979</v>
      </c>
      <c r="U38" s="6">
        <f t="shared" si="22"/>
        <v>1.1167076167076166</v>
      </c>
      <c r="V38" s="5">
        <f t="shared" si="23"/>
        <v>119.52999999999999</v>
      </c>
      <c r="W38" s="5">
        <f t="shared" si="24"/>
        <v>122.10000000000001</v>
      </c>
      <c r="X38" s="5">
        <f t="shared" si="25"/>
        <v>-2.5700000000000216</v>
      </c>
      <c r="Y38" s="6">
        <f t="shared" si="26"/>
        <v>0.97895167895167878</v>
      </c>
    </row>
    <row r="39" spans="1:25" x14ac:dyDescent="0.3">
      <c r="A39" s="3" t="s">
        <v>42</v>
      </c>
      <c r="B39" s="5">
        <f>0</f>
        <v>0</v>
      </c>
      <c r="C39" s="4"/>
      <c r="D39" s="5">
        <f t="shared" si="13"/>
        <v>0</v>
      </c>
      <c r="E39" s="6" t="str">
        <f t="shared" si="14"/>
        <v/>
      </c>
      <c r="F39" s="5">
        <f>0</f>
        <v>0</v>
      </c>
      <c r="G39" s="4"/>
      <c r="H39" s="5">
        <f t="shared" si="15"/>
        <v>0</v>
      </c>
      <c r="I39" s="6" t="str">
        <f t="shared" si="16"/>
        <v/>
      </c>
      <c r="J39" s="5">
        <f>0</f>
        <v>0</v>
      </c>
      <c r="K39" s="4"/>
      <c r="L39" s="5">
        <f t="shared" si="17"/>
        <v>0</v>
      </c>
      <c r="M39" s="6" t="str">
        <f t="shared" si="18"/>
        <v/>
      </c>
      <c r="N39" s="5">
        <f>0</f>
        <v>0</v>
      </c>
      <c r="O39" s="4"/>
      <c r="P39" s="5">
        <f t="shared" si="19"/>
        <v>0</v>
      </c>
      <c r="Q39" s="6" t="str">
        <f t="shared" si="20"/>
        <v/>
      </c>
      <c r="R39" s="5">
        <f>0</f>
        <v>0</v>
      </c>
      <c r="S39" s="4"/>
      <c r="T39" s="5">
        <f t="shared" si="21"/>
        <v>0</v>
      </c>
      <c r="U39" s="6" t="str">
        <f t="shared" si="22"/>
        <v/>
      </c>
      <c r="V39" s="5">
        <f t="shared" si="23"/>
        <v>0</v>
      </c>
      <c r="W39" s="5">
        <f t="shared" si="24"/>
        <v>0</v>
      </c>
      <c r="X39" s="5">
        <f t="shared" si="25"/>
        <v>0</v>
      </c>
      <c r="Y39" s="6" t="str">
        <f t="shared" si="26"/>
        <v/>
      </c>
    </row>
    <row r="40" spans="1:25" x14ac:dyDescent="0.3">
      <c r="A40" s="3" t="s">
        <v>43</v>
      </c>
      <c r="B40" s="7">
        <f>(((B36)+(B37))+(B38))+(B39)</f>
        <v>68.81</v>
      </c>
      <c r="C40" s="7">
        <f>(((C36)+(C37))+(C38))+(C39)</f>
        <v>69.75</v>
      </c>
      <c r="D40" s="7">
        <f t="shared" si="13"/>
        <v>-0.93999999999999773</v>
      </c>
      <c r="E40" s="8">
        <f t="shared" si="14"/>
        <v>0.98652329749103951</v>
      </c>
      <c r="F40" s="7">
        <f>(((F36)+(F37))+(F38))+(F39)</f>
        <v>68.81</v>
      </c>
      <c r="G40" s="7">
        <f>(((G36)+(G37))+(G38))+(G39)</f>
        <v>69.75</v>
      </c>
      <c r="H40" s="7">
        <f t="shared" si="15"/>
        <v>-0.93999999999999773</v>
      </c>
      <c r="I40" s="8">
        <f t="shared" si="16"/>
        <v>0.98652329749103951</v>
      </c>
      <c r="J40" s="7">
        <f>(((J36)+(J37))+(J38))+(J39)</f>
        <v>48.09</v>
      </c>
      <c r="K40" s="7">
        <f>(((K36)+(K37))+(K38))+(K39)</f>
        <v>69.75</v>
      </c>
      <c r="L40" s="7">
        <f t="shared" si="17"/>
        <v>-21.659999999999997</v>
      </c>
      <c r="M40" s="8">
        <f t="shared" si="18"/>
        <v>0.68946236559139795</v>
      </c>
      <c r="N40" s="7">
        <f>(((N36)+(N37))+(N38))+(N39)</f>
        <v>77.91</v>
      </c>
      <c r="O40" s="7">
        <f>(((O36)+(O37))+(O38))+(O39)</f>
        <v>69.75</v>
      </c>
      <c r="P40" s="7">
        <f t="shared" si="19"/>
        <v>8.1599999999999966</v>
      </c>
      <c r="Q40" s="8">
        <f t="shared" si="20"/>
        <v>1.1169892473118279</v>
      </c>
      <c r="R40" s="7">
        <f>(((R36)+(R37))+(R38))+(R39)</f>
        <v>77.91</v>
      </c>
      <c r="S40" s="7">
        <f>(((S36)+(S37))+(S38))+(S39)</f>
        <v>69.75</v>
      </c>
      <c r="T40" s="7">
        <f t="shared" si="21"/>
        <v>8.1599999999999966</v>
      </c>
      <c r="U40" s="8">
        <f t="shared" si="22"/>
        <v>1.1169892473118279</v>
      </c>
      <c r="V40" s="7">
        <f t="shared" si="23"/>
        <v>341.53</v>
      </c>
      <c r="W40" s="7">
        <f t="shared" si="24"/>
        <v>348.75</v>
      </c>
      <c r="X40" s="7">
        <f t="shared" si="25"/>
        <v>-7.2200000000000273</v>
      </c>
      <c r="Y40" s="8">
        <f t="shared" si="26"/>
        <v>0.97929749103942643</v>
      </c>
    </row>
    <row r="41" spans="1:25" x14ac:dyDescent="0.3">
      <c r="A41" s="3" t="s">
        <v>44</v>
      </c>
      <c r="B41" s="4"/>
      <c r="C41" s="4"/>
      <c r="D41" s="5">
        <f t="shared" si="13"/>
        <v>0</v>
      </c>
      <c r="E41" s="6" t="str">
        <f t="shared" si="14"/>
        <v/>
      </c>
      <c r="F41" s="4"/>
      <c r="G41" s="4"/>
      <c r="H41" s="5">
        <f t="shared" si="15"/>
        <v>0</v>
      </c>
      <c r="I41" s="6" t="str">
        <f t="shared" si="16"/>
        <v/>
      </c>
      <c r="J41" s="4"/>
      <c r="K41" s="4"/>
      <c r="L41" s="5">
        <f t="shared" si="17"/>
        <v>0</v>
      </c>
      <c r="M41" s="6" t="str">
        <f t="shared" si="18"/>
        <v/>
      </c>
      <c r="N41" s="4"/>
      <c r="O41" s="4"/>
      <c r="P41" s="5">
        <f t="shared" si="19"/>
        <v>0</v>
      </c>
      <c r="Q41" s="6" t="str">
        <f t="shared" si="20"/>
        <v/>
      </c>
      <c r="R41" s="4"/>
      <c r="S41" s="4"/>
      <c r="T41" s="5">
        <f t="shared" si="21"/>
        <v>0</v>
      </c>
      <c r="U41" s="6" t="str">
        <f t="shared" si="22"/>
        <v/>
      </c>
      <c r="V41" s="5">
        <f t="shared" si="23"/>
        <v>0</v>
      </c>
      <c r="W41" s="5">
        <f t="shared" si="24"/>
        <v>0</v>
      </c>
      <c r="X41" s="5">
        <f t="shared" si="25"/>
        <v>0</v>
      </c>
      <c r="Y41" s="6" t="str">
        <f t="shared" si="26"/>
        <v/>
      </c>
    </row>
    <row r="42" spans="1:25" x14ac:dyDescent="0.3">
      <c r="A42" s="3" t="s">
        <v>45</v>
      </c>
      <c r="B42" s="5">
        <f>1092.79</f>
        <v>1092.79</v>
      </c>
      <c r="C42" s="5">
        <f>1715.33</f>
        <v>1715.33</v>
      </c>
      <c r="D42" s="5">
        <f t="shared" si="13"/>
        <v>-622.54</v>
      </c>
      <c r="E42" s="6">
        <f t="shared" si="14"/>
        <v>0.63707274984988316</v>
      </c>
      <c r="F42" s="5">
        <f>1092.79</f>
        <v>1092.79</v>
      </c>
      <c r="G42" s="5">
        <f>1715.33</f>
        <v>1715.33</v>
      </c>
      <c r="H42" s="5">
        <f t="shared" si="15"/>
        <v>-622.54</v>
      </c>
      <c r="I42" s="6">
        <f t="shared" si="16"/>
        <v>0.63707274984988316</v>
      </c>
      <c r="J42" s="5">
        <f>919.59</f>
        <v>919.59</v>
      </c>
      <c r="K42" s="5">
        <f>1715.33</f>
        <v>1715.33</v>
      </c>
      <c r="L42" s="5">
        <f t="shared" si="17"/>
        <v>-795.7399999999999</v>
      </c>
      <c r="M42" s="6">
        <f t="shared" si="18"/>
        <v>0.53610092518640728</v>
      </c>
      <c r="N42" s="5">
        <f>6367.11</f>
        <v>6367.11</v>
      </c>
      <c r="O42" s="5">
        <f>1715.33</f>
        <v>1715.33</v>
      </c>
      <c r="P42" s="5">
        <f t="shared" si="19"/>
        <v>4651.78</v>
      </c>
      <c r="Q42" s="6">
        <f t="shared" si="20"/>
        <v>3.7118863425696511</v>
      </c>
      <c r="R42" s="5">
        <f>972.11</f>
        <v>972.11</v>
      </c>
      <c r="S42" s="5">
        <f>1715.33</f>
        <v>1715.33</v>
      </c>
      <c r="T42" s="5">
        <f t="shared" si="21"/>
        <v>-743.21999999999991</v>
      </c>
      <c r="U42" s="6">
        <f t="shared" si="22"/>
        <v>0.56671894037881931</v>
      </c>
      <c r="V42" s="5">
        <f t="shared" si="23"/>
        <v>10444.39</v>
      </c>
      <c r="W42" s="5">
        <f t="shared" si="24"/>
        <v>8576.65</v>
      </c>
      <c r="X42" s="5">
        <f t="shared" si="25"/>
        <v>1867.7399999999998</v>
      </c>
      <c r="Y42" s="6">
        <f t="shared" si="26"/>
        <v>1.2177703415669288</v>
      </c>
    </row>
    <row r="43" spans="1:25" x14ac:dyDescent="0.3">
      <c r="A43" s="3" t="s">
        <v>46</v>
      </c>
      <c r="B43" s="5">
        <f>588.43</f>
        <v>588.42999999999995</v>
      </c>
      <c r="C43" s="5">
        <f>923.58</f>
        <v>923.58</v>
      </c>
      <c r="D43" s="5">
        <f t="shared" si="13"/>
        <v>-335.15000000000009</v>
      </c>
      <c r="E43" s="6">
        <f t="shared" si="14"/>
        <v>0.63711860369431983</v>
      </c>
      <c r="F43" s="5">
        <f>588.43</f>
        <v>588.42999999999995</v>
      </c>
      <c r="G43" s="5">
        <f>923.58</f>
        <v>923.58</v>
      </c>
      <c r="H43" s="5">
        <f t="shared" si="15"/>
        <v>-335.15000000000009</v>
      </c>
      <c r="I43" s="6">
        <f t="shared" si="16"/>
        <v>0.63711860369431983</v>
      </c>
      <c r="J43" s="5">
        <f>495.17</f>
        <v>495.17</v>
      </c>
      <c r="K43" s="5">
        <f>923.58</f>
        <v>923.58</v>
      </c>
      <c r="L43" s="5">
        <f t="shared" si="17"/>
        <v>-428.41</v>
      </c>
      <c r="M43" s="6">
        <f t="shared" si="18"/>
        <v>0.53614196929340174</v>
      </c>
      <c r="N43" s="5">
        <f>3428.45</f>
        <v>3428.45</v>
      </c>
      <c r="O43" s="5">
        <f>923.58</f>
        <v>923.58</v>
      </c>
      <c r="P43" s="5">
        <f t="shared" si="19"/>
        <v>2504.87</v>
      </c>
      <c r="Q43" s="6">
        <f t="shared" si="20"/>
        <v>3.7121310552415596</v>
      </c>
      <c r="R43" s="5">
        <f>523.45</f>
        <v>523.45000000000005</v>
      </c>
      <c r="S43" s="5">
        <f>923.58</f>
        <v>923.58</v>
      </c>
      <c r="T43" s="5">
        <f t="shared" si="21"/>
        <v>-400.13</v>
      </c>
      <c r="U43" s="6">
        <f t="shared" si="22"/>
        <v>0.56676194807163427</v>
      </c>
      <c r="V43" s="5">
        <f t="shared" si="23"/>
        <v>5623.9299999999994</v>
      </c>
      <c r="W43" s="5">
        <f t="shared" si="24"/>
        <v>4617.9000000000005</v>
      </c>
      <c r="X43" s="5">
        <f t="shared" si="25"/>
        <v>1006.0299999999988</v>
      </c>
      <c r="Y43" s="6">
        <f t="shared" si="26"/>
        <v>1.2178544359990469</v>
      </c>
    </row>
    <row r="44" spans="1:25" x14ac:dyDescent="0.3">
      <c r="A44" s="3" t="s">
        <v>47</v>
      </c>
      <c r="B44" s="5">
        <f>0</f>
        <v>0</v>
      </c>
      <c r="C44" s="4"/>
      <c r="D44" s="5">
        <f t="shared" si="13"/>
        <v>0</v>
      </c>
      <c r="E44" s="6" t="str">
        <f t="shared" si="14"/>
        <v/>
      </c>
      <c r="F44" s="5">
        <f>0</f>
        <v>0</v>
      </c>
      <c r="G44" s="4"/>
      <c r="H44" s="5">
        <f t="shared" si="15"/>
        <v>0</v>
      </c>
      <c r="I44" s="6" t="str">
        <f t="shared" si="16"/>
        <v/>
      </c>
      <c r="J44" s="5">
        <f>0</f>
        <v>0</v>
      </c>
      <c r="K44" s="4"/>
      <c r="L44" s="5">
        <f t="shared" si="17"/>
        <v>0</v>
      </c>
      <c r="M44" s="6" t="str">
        <f t="shared" si="18"/>
        <v/>
      </c>
      <c r="N44" s="5">
        <f>0</f>
        <v>0</v>
      </c>
      <c r="O44" s="4"/>
      <c r="P44" s="5">
        <f t="shared" si="19"/>
        <v>0</v>
      </c>
      <c r="Q44" s="6" t="str">
        <f t="shared" si="20"/>
        <v/>
      </c>
      <c r="R44" s="5">
        <f>0</f>
        <v>0</v>
      </c>
      <c r="S44" s="4"/>
      <c r="T44" s="5">
        <f t="shared" si="21"/>
        <v>0</v>
      </c>
      <c r="U44" s="6" t="str">
        <f t="shared" si="22"/>
        <v/>
      </c>
      <c r="V44" s="5">
        <f t="shared" si="23"/>
        <v>0</v>
      </c>
      <c r="W44" s="5">
        <f t="shared" si="24"/>
        <v>0</v>
      </c>
      <c r="X44" s="5">
        <f t="shared" si="25"/>
        <v>0</v>
      </c>
      <c r="Y44" s="6" t="str">
        <f t="shared" si="26"/>
        <v/>
      </c>
    </row>
    <row r="45" spans="1:25" x14ac:dyDescent="0.3">
      <c r="A45" s="3" t="s">
        <v>48</v>
      </c>
      <c r="B45" s="7">
        <f>(((B41)+(B42))+(B43))+(B44)</f>
        <v>1681.2199999999998</v>
      </c>
      <c r="C45" s="7">
        <f>(((C41)+(C42))+(C43))+(C44)</f>
        <v>2638.91</v>
      </c>
      <c r="D45" s="7">
        <f t="shared" si="13"/>
        <v>-957.69</v>
      </c>
      <c r="E45" s="8">
        <f t="shared" si="14"/>
        <v>0.6370887980264579</v>
      </c>
      <c r="F45" s="7">
        <f>(((F41)+(F42))+(F43))+(F44)</f>
        <v>1681.2199999999998</v>
      </c>
      <c r="G45" s="7">
        <f>(((G41)+(G42))+(G43))+(G44)</f>
        <v>2638.91</v>
      </c>
      <c r="H45" s="7">
        <f t="shared" si="15"/>
        <v>-957.69</v>
      </c>
      <c r="I45" s="8">
        <f t="shared" si="16"/>
        <v>0.6370887980264579</v>
      </c>
      <c r="J45" s="7">
        <f>(((J41)+(J42))+(J43))+(J44)</f>
        <v>1414.76</v>
      </c>
      <c r="K45" s="7">
        <f>(((K41)+(K42))+(K43))+(K44)</f>
        <v>2638.91</v>
      </c>
      <c r="L45" s="7">
        <f t="shared" si="17"/>
        <v>-1224.1499999999999</v>
      </c>
      <c r="M45" s="8">
        <f t="shared" si="18"/>
        <v>0.53611529002504821</v>
      </c>
      <c r="N45" s="7">
        <f>(((N41)+(N42))+(N43))+(N44)</f>
        <v>9795.56</v>
      </c>
      <c r="O45" s="7">
        <f>(((O41)+(O42))+(O43))+(O44)</f>
        <v>2638.91</v>
      </c>
      <c r="P45" s="7">
        <f t="shared" si="19"/>
        <v>7156.65</v>
      </c>
      <c r="Q45" s="8">
        <f t="shared" si="20"/>
        <v>3.7119719884346187</v>
      </c>
      <c r="R45" s="7">
        <f>(((R41)+(R42))+(R43))+(R44)</f>
        <v>1495.56</v>
      </c>
      <c r="S45" s="7">
        <f>(((S41)+(S42))+(S43))+(S44)</f>
        <v>2638.91</v>
      </c>
      <c r="T45" s="7">
        <f t="shared" si="21"/>
        <v>-1143.3499999999999</v>
      </c>
      <c r="U45" s="8">
        <f t="shared" si="22"/>
        <v>0.56673399244384992</v>
      </c>
      <c r="V45" s="7">
        <f t="shared" si="23"/>
        <v>16068.319999999998</v>
      </c>
      <c r="W45" s="7">
        <f t="shared" si="24"/>
        <v>13194.55</v>
      </c>
      <c r="X45" s="7">
        <f t="shared" si="25"/>
        <v>2873.7699999999986</v>
      </c>
      <c r="Y45" s="8">
        <f t="shared" si="26"/>
        <v>1.2177997733912864</v>
      </c>
    </row>
    <row r="46" spans="1:25" x14ac:dyDescent="0.3">
      <c r="A46" s="3" t="s">
        <v>49</v>
      </c>
      <c r="B46" s="4"/>
      <c r="C46" s="4"/>
      <c r="D46" s="5">
        <f t="shared" si="13"/>
        <v>0</v>
      </c>
      <c r="E46" s="6" t="str">
        <f t="shared" si="14"/>
        <v/>
      </c>
      <c r="F46" s="4"/>
      <c r="G46" s="4"/>
      <c r="H46" s="5">
        <f t="shared" si="15"/>
        <v>0</v>
      </c>
      <c r="I46" s="6" t="str">
        <f t="shared" si="16"/>
        <v/>
      </c>
      <c r="J46" s="4"/>
      <c r="K46" s="4"/>
      <c r="L46" s="5">
        <f t="shared" si="17"/>
        <v>0</v>
      </c>
      <c r="M46" s="6" t="str">
        <f t="shared" si="18"/>
        <v/>
      </c>
      <c r="N46" s="4"/>
      <c r="O46" s="4"/>
      <c r="P46" s="5">
        <f t="shared" si="19"/>
        <v>0</v>
      </c>
      <c r="Q46" s="6" t="str">
        <f t="shared" si="20"/>
        <v/>
      </c>
      <c r="R46" s="4"/>
      <c r="S46" s="4"/>
      <c r="T46" s="5">
        <f t="shared" si="21"/>
        <v>0</v>
      </c>
      <c r="U46" s="6" t="str">
        <f t="shared" si="22"/>
        <v/>
      </c>
      <c r="V46" s="5">
        <f t="shared" si="23"/>
        <v>0</v>
      </c>
      <c r="W46" s="5">
        <f t="shared" si="24"/>
        <v>0</v>
      </c>
      <c r="X46" s="5">
        <f t="shared" si="25"/>
        <v>0</v>
      </c>
      <c r="Y46" s="6" t="str">
        <f t="shared" si="26"/>
        <v/>
      </c>
    </row>
    <row r="47" spans="1:25" x14ac:dyDescent="0.3">
      <c r="A47" s="3" t="s">
        <v>50</v>
      </c>
      <c r="B47" s="5">
        <f>252.78</f>
        <v>252.78</v>
      </c>
      <c r="C47" s="5">
        <f>227.92</f>
        <v>227.92</v>
      </c>
      <c r="D47" s="5">
        <f t="shared" si="13"/>
        <v>24.860000000000014</v>
      </c>
      <c r="E47" s="6">
        <f t="shared" si="14"/>
        <v>1.1090733590733592</v>
      </c>
      <c r="F47" s="5">
        <f>252.78</f>
        <v>252.78</v>
      </c>
      <c r="G47" s="5">
        <f>227.92</f>
        <v>227.92</v>
      </c>
      <c r="H47" s="5">
        <f t="shared" si="15"/>
        <v>24.860000000000014</v>
      </c>
      <c r="I47" s="6">
        <f t="shared" si="16"/>
        <v>1.1090733590733592</v>
      </c>
      <c r="J47" s="5">
        <f>252.78</f>
        <v>252.78</v>
      </c>
      <c r="K47" s="5">
        <f>227.92</f>
        <v>227.92</v>
      </c>
      <c r="L47" s="5">
        <f t="shared" si="17"/>
        <v>24.860000000000014</v>
      </c>
      <c r="M47" s="6">
        <f t="shared" si="18"/>
        <v>1.1090733590733592</v>
      </c>
      <c r="N47" s="5">
        <f>252.78</f>
        <v>252.78</v>
      </c>
      <c r="O47" s="5">
        <f>227.92</f>
        <v>227.92</v>
      </c>
      <c r="P47" s="5">
        <f t="shared" si="19"/>
        <v>24.860000000000014</v>
      </c>
      <c r="Q47" s="6">
        <f t="shared" si="20"/>
        <v>1.1090733590733592</v>
      </c>
      <c r="R47" s="5">
        <f>258.57</f>
        <v>258.57</v>
      </c>
      <c r="S47" s="5">
        <f>227.92</f>
        <v>227.92</v>
      </c>
      <c r="T47" s="5">
        <f t="shared" si="21"/>
        <v>30.650000000000006</v>
      </c>
      <c r="U47" s="6">
        <f t="shared" si="22"/>
        <v>1.1344770094770096</v>
      </c>
      <c r="V47" s="5">
        <f t="shared" si="23"/>
        <v>1269.69</v>
      </c>
      <c r="W47" s="5">
        <f t="shared" si="24"/>
        <v>1139.5999999999999</v>
      </c>
      <c r="X47" s="5">
        <f t="shared" si="25"/>
        <v>130.09000000000015</v>
      </c>
      <c r="Y47" s="6">
        <f t="shared" si="26"/>
        <v>1.1141540891540893</v>
      </c>
    </row>
    <row r="48" spans="1:25" x14ac:dyDescent="0.3">
      <c r="A48" s="3" t="s">
        <v>51</v>
      </c>
      <c r="B48" s="5">
        <f>136.11</f>
        <v>136.11000000000001</v>
      </c>
      <c r="C48" s="5">
        <f>122.67</f>
        <v>122.67</v>
      </c>
      <c r="D48" s="5">
        <f t="shared" ref="D48:D79" si="27">(B48)-(C48)</f>
        <v>13.440000000000012</v>
      </c>
      <c r="E48" s="6">
        <f t="shared" ref="E48:E79" si="28">IF(C48=0,"",(B48)/(C48))</f>
        <v>1.1095622401565175</v>
      </c>
      <c r="F48" s="5">
        <f>136.11</f>
        <v>136.11000000000001</v>
      </c>
      <c r="G48" s="5">
        <f>122.67</f>
        <v>122.67</v>
      </c>
      <c r="H48" s="5">
        <f t="shared" ref="H48:H79" si="29">(F48)-(G48)</f>
        <v>13.440000000000012</v>
      </c>
      <c r="I48" s="6">
        <f t="shared" ref="I48:I79" si="30">IF(G48=0,"",(F48)/(G48))</f>
        <v>1.1095622401565175</v>
      </c>
      <c r="J48" s="5">
        <f>136.11</f>
        <v>136.11000000000001</v>
      </c>
      <c r="K48" s="5">
        <f>122.67</f>
        <v>122.67</v>
      </c>
      <c r="L48" s="5">
        <f t="shared" ref="L48:L79" si="31">(J48)-(K48)</f>
        <v>13.440000000000012</v>
      </c>
      <c r="M48" s="6">
        <f t="shared" ref="M48:M79" si="32">IF(K48=0,"",(J48)/(K48))</f>
        <v>1.1095622401565175</v>
      </c>
      <c r="N48" s="5">
        <f>136.11</f>
        <v>136.11000000000001</v>
      </c>
      <c r="O48" s="5">
        <f>122.67</f>
        <v>122.67</v>
      </c>
      <c r="P48" s="5">
        <f t="shared" ref="P48:P79" si="33">(N48)-(O48)</f>
        <v>13.440000000000012</v>
      </c>
      <c r="Q48" s="6">
        <f t="shared" ref="Q48:Q79" si="34">IF(O48=0,"",(N48)/(O48))</f>
        <v>1.1095622401565175</v>
      </c>
      <c r="R48" s="5">
        <f>139.23</f>
        <v>139.22999999999999</v>
      </c>
      <c r="S48" s="5">
        <f>122.67</f>
        <v>122.67</v>
      </c>
      <c r="T48" s="5">
        <f t="shared" ref="T48:T79" si="35">(R48)-(S48)</f>
        <v>16.559999999999988</v>
      </c>
      <c r="U48" s="6">
        <f t="shared" ref="U48:U79" si="36">IF(S48=0,"",(R48)/(S48))</f>
        <v>1.1349963316214233</v>
      </c>
      <c r="V48" s="5">
        <f t="shared" ref="V48:V79" si="37">((((B48)+(F48))+(J48))+(N48))+(R48)</f>
        <v>683.67000000000007</v>
      </c>
      <c r="W48" s="5">
        <f t="shared" ref="W48:W79" si="38">((((C48)+(G48))+(K48))+(O48))+(S48)</f>
        <v>613.35</v>
      </c>
      <c r="X48" s="5">
        <f t="shared" ref="X48:X79" si="39">(V48)-(W48)</f>
        <v>70.32000000000005</v>
      </c>
      <c r="Y48" s="6">
        <f t="shared" ref="Y48:Y79" si="40">IF(W48=0,"",(V48)/(W48))</f>
        <v>1.1146490584494988</v>
      </c>
    </row>
    <row r="49" spans="1:25" x14ac:dyDescent="0.3">
      <c r="A49" s="3" t="s">
        <v>52</v>
      </c>
      <c r="B49" s="5">
        <f>0</f>
        <v>0</v>
      </c>
      <c r="C49" s="4"/>
      <c r="D49" s="5">
        <f t="shared" si="27"/>
        <v>0</v>
      </c>
      <c r="E49" s="6" t="str">
        <f t="shared" si="28"/>
        <v/>
      </c>
      <c r="F49" s="5">
        <f>0</f>
        <v>0</v>
      </c>
      <c r="G49" s="4"/>
      <c r="H49" s="5">
        <f t="shared" si="29"/>
        <v>0</v>
      </c>
      <c r="I49" s="6" t="str">
        <f t="shared" si="30"/>
        <v/>
      </c>
      <c r="J49" s="5">
        <f>0</f>
        <v>0</v>
      </c>
      <c r="K49" s="4"/>
      <c r="L49" s="5">
        <f t="shared" si="31"/>
        <v>0</v>
      </c>
      <c r="M49" s="6" t="str">
        <f t="shared" si="32"/>
        <v/>
      </c>
      <c r="N49" s="5">
        <f>0</f>
        <v>0</v>
      </c>
      <c r="O49" s="4"/>
      <c r="P49" s="5">
        <f t="shared" si="33"/>
        <v>0</v>
      </c>
      <c r="Q49" s="6" t="str">
        <f t="shared" si="34"/>
        <v/>
      </c>
      <c r="R49" s="5">
        <f>0</f>
        <v>0</v>
      </c>
      <c r="S49" s="4"/>
      <c r="T49" s="5">
        <f t="shared" si="35"/>
        <v>0</v>
      </c>
      <c r="U49" s="6" t="str">
        <f t="shared" si="36"/>
        <v/>
      </c>
      <c r="V49" s="5">
        <f t="shared" si="37"/>
        <v>0</v>
      </c>
      <c r="W49" s="5">
        <f t="shared" si="38"/>
        <v>0</v>
      </c>
      <c r="X49" s="5">
        <f t="shared" si="39"/>
        <v>0</v>
      </c>
      <c r="Y49" s="6" t="str">
        <f t="shared" si="40"/>
        <v/>
      </c>
    </row>
    <row r="50" spans="1:25" x14ac:dyDescent="0.3">
      <c r="A50" s="3" t="s">
        <v>53</v>
      </c>
      <c r="B50" s="7">
        <f>(((B46)+(B47))+(B48))+(B49)</f>
        <v>388.89</v>
      </c>
      <c r="C50" s="7">
        <f>(((C46)+(C47))+(C48))+(C49)</f>
        <v>350.59</v>
      </c>
      <c r="D50" s="7">
        <f t="shared" si="27"/>
        <v>38.300000000000011</v>
      </c>
      <c r="E50" s="8">
        <f t="shared" si="28"/>
        <v>1.1092444165549502</v>
      </c>
      <c r="F50" s="7">
        <f>(((F46)+(F47))+(F48))+(F49)</f>
        <v>388.89</v>
      </c>
      <c r="G50" s="7">
        <f>(((G46)+(G47))+(G48))+(G49)</f>
        <v>350.59</v>
      </c>
      <c r="H50" s="7">
        <f t="shared" si="29"/>
        <v>38.300000000000011</v>
      </c>
      <c r="I50" s="8">
        <f t="shared" si="30"/>
        <v>1.1092444165549502</v>
      </c>
      <c r="J50" s="7">
        <f>(((J46)+(J47))+(J48))+(J49)</f>
        <v>388.89</v>
      </c>
      <c r="K50" s="7">
        <f>(((K46)+(K47))+(K48))+(K49)</f>
        <v>350.59</v>
      </c>
      <c r="L50" s="7">
        <f t="shared" si="31"/>
        <v>38.300000000000011</v>
      </c>
      <c r="M50" s="8">
        <f t="shared" si="32"/>
        <v>1.1092444165549502</v>
      </c>
      <c r="N50" s="7">
        <f>(((N46)+(N47))+(N48))+(N49)</f>
        <v>388.89</v>
      </c>
      <c r="O50" s="7">
        <f>(((O46)+(O47))+(O48))+(O49)</f>
        <v>350.59</v>
      </c>
      <c r="P50" s="7">
        <f t="shared" si="33"/>
        <v>38.300000000000011</v>
      </c>
      <c r="Q50" s="8">
        <f t="shared" si="34"/>
        <v>1.1092444165549502</v>
      </c>
      <c r="R50" s="7">
        <f>(((R46)+(R47))+(R48))+(R49)</f>
        <v>397.79999999999995</v>
      </c>
      <c r="S50" s="7">
        <f>(((S46)+(S47))+(S48))+(S49)</f>
        <v>350.59</v>
      </c>
      <c r="T50" s="7">
        <f t="shared" si="35"/>
        <v>47.20999999999998</v>
      </c>
      <c r="U50" s="8">
        <f t="shared" si="36"/>
        <v>1.1346587181608145</v>
      </c>
      <c r="V50" s="7">
        <f t="shared" si="37"/>
        <v>1953.36</v>
      </c>
      <c r="W50" s="7">
        <f t="shared" si="38"/>
        <v>1752.9499999999998</v>
      </c>
      <c r="X50" s="7">
        <f t="shared" si="39"/>
        <v>200.41000000000008</v>
      </c>
      <c r="Y50" s="8">
        <f t="shared" si="40"/>
        <v>1.1143272768761232</v>
      </c>
    </row>
    <row r="51" spans="1:25" x14ac:dyDescent="0.3">
      <c r="A51" s="3" t="s">
        <v>54</v>
      </c>
      <c r="B51" s="4"/>
      <c r="C51" s="4"/>
      <c r="D51" s="5">
        <f t="shared" si="27"/>
        <v>0</v>
      </c>
      <c r="E51" s="6" t="str">
        <f t="shared" si="28"/>
        <v/>
      </c>
      <c r="F51" s="4"/>
      <c r="G51" s="4"/>
      <c r="H51" s="5">
        <f t="shared" si="29"/>
        <v>0</v>
      </c>
      <c r="I51" s="6" t="str">
        <f t="shared" si="30"/>
        <v/>
      </c>
      <c r="J51" s="4"/>
      <c r="K51" s="4"/>
      <c r="L51" s="5">
        <f t="shared" si="31"/>
        <v>0</v>
      </c>
      <c r="M51" s="6" t="str">
        <f t="shared" si="32"/>
        <v/>
      </c>
      <c r="N51" s="4"/>
      <c r="O51" s="4"/>
      <c r="P51" s="5">
        <f t="shared" si="33"/>
        <v>0</v>
      </c>
      <c r="Q51" s="6" t="str">
        <f t="shared" si="34"/>
        <v/>
      </c>
      <c r="R51" s="4"/>
      <c r="S51" s="4"/>
      <c r="T51" s="5">
        <f t="shared" si="35"/>
        <v>0</v>
      </c>
      <c r="U51" s="6" t="str">
        <f t="shared" si="36"/>
        <v/>
      </c>
      <c r="V51" s="5">
        <f t="shared" si="37"/>
        <v>0</v>
      </c>
      <c r="W51" s="5">
        <f t="shared" si="38"/>
        <v>0</v>
      </c>
      <c r="X51" s="5">
        <f t="shared" si="39"/>
        <v>0</v>
      </c>
      <c r="Y51" s="6" t="str">
        <f t="shared" si="40"/>
        <v/>
      </c>
    </row>
    <row r="52" spans="1:25" x14ac:dyDescent="0.3">
      <c r="A52" s="3" t="s">
        <v>55</v>
      </c>
      <c r="B52" s="5">
        <f>749.24</f>
        <v>749.24</v>
      </c>
      <c r="C52" s="5">
        <f>811.17</f>
        <v>811.17</v>
      </c>
      <c r="D52" s="5">
        <f t="shared" si="27"/>
        <v>-61.92999999999995</v>
      </c>
      <c r="E52" s="6">
        <f t="shared" si="28"/>
        <v>0.9236534881714068</v>
      </c>
      <c r="F52" s="5">
        <f>559.18</f>
        <v>559.17999999999995</v>
      </c>
      <c r="G52" s="5">
        <f>811.17</f>
        <v>811.17</v>
      </c>
      <c r="H52" s="5">
        <f t="shared" si="29"/>
        <v>-251.99</v>
      </c>
      <c r="I52" s="6">
        <f t="shared" si="30"/>
        <v>0.68934995130490528</v>
      </c>
      <c r="J52" s="5">
        <f>614.71</f>
        <v>614.71</v>
      </c>
      <c r="K52" s="5">
        <f>811.17</f>
        <v>811.17</v>
      </c>
      <c r="L52" s="5">
        <f t="shared" si="31"/>
        <v>-196.45999999999992</v>
      </c>
      <c r="M52" s="6">
        <f t="shared" si="32"/>
        <v>0.75780662499845908</v>
      </c>
      <c r="N52" s="5">
        <f>599.64</f>
        <v>599.64</v>
      </c>
      <c r="O52" s="5">
        <f>811.17</f>
        <v>811.17</v>
      </c>
      <c r="P52" s="5">
        <f t="shared" si="33"/>
        <v>-211.52999999999997</v>
      </c>
      <c r="Q52" s="6">
        <f t="shared" si="34"/>
        <v>0.7392285217648582</v>
      </c>
      <c r="R52" s="5">
        <f>997.11</f>
        <v>997.11</v>
      </c>
      <c r="S52" s="5">
        <f>811.17</f>
        <v>811.17</v>
      </c>
      <c r="T52" s="5">
        <f t="shared" si="35"/>
        <v>185.94000000000005</v>
      </c>
      <c r="U52" s="6">
        <f t="shared" si="36"/>
        <v>1.2292244535670698</v>
      </c>
      <c r="V52" s="5">
        <f t="shared" si="37"/>
        <v>3519.88</v>
      </c>
      <c r="W52" s="5">
        <f t="shared" si="38"/>
        <v>4055.85</v>
      </c>
      <c r="X52" s="5">
        <f t="shared" si="39"/>
        <v>-535.9699999999998</v>
      </c>
      <c r="Y52" s="6">
        <f t="shared" si="40"/>
        <v>0.86785260796133989</v>
      </c>
    </row>
    <row r="53" spans="1:25" x14ac:dyDescent="0.3">
      <c r="A53" s="3" t="s">
        <v>56</v>
      </c>
      <c r="B53" s="5">
        <f>403.44</f>
        <v>403.44</v>
      </c>
      <c r="C53" s="5">
        <f>436.83</f>
        <v>436.83</v>
      </c>
      <c r="D53" s="5">
        <f t="shared" si="27"/>
        <v>-33.389999999999986</v>
      </c>
      <c r="E53" s="6">
        <f t="shared" si="28"/>
        <v>0.92356294210562462</v>
      </c>
      <c r="F53" s="5">
        <f>301.1</f>
        <v>301.10000000000002</v>
      </c>
      <c r="G53" s="5">
        <f>436.83</f>
        <v>436.83</v>
      </c>
      <c r="H53" s="5">
        <f t="shared" si="29"/>
        <v>-135.72999999999996</v>
      </c>
      <c r="I53" s="6">
        <f t="shared" si="30"/>
        <v>0.68928416088638611</v>
      </c>
      <c r="J53" s="5">
        <f>331</f>
        <v>331</v>
      </c>
      <c r="K53" s="5">
        <f>436.83</f>
        <v>436.83</v>
      </c>
      <c r="L53" s="5">
        <f t="shared" si="31"/>
        <v>-105.82999999999998</v>
      </c>
      <c r="M53" s="6">
        <f t="shared" si="32"/>
        <v>0.75773184076185252</v>
      </c>
      <c r="N53" s="5">
        <f>322.88</f>
        <v>322.88</v>
      </c>
      <c r="O53" s="5">
        <f>436.83</f>
        <v>436.83</v>
      </c>
      <c r="P53" s="5">
        <f t="shared" si="33"/>
        <v>-113.94999999999999</v>
      </c>
      <c r="Q53" s="6">
        <f t="shared" si="34"/>
        <v>0.73914337385252848</v>
      </c>
      <c r="R53" s="5">
        <f>536.91</f>
        <v>536.91</v>
      </c>
      <c r="S53" s="5">
        <f>436.83</f>
        <v>436.83</v>
      </c>
      <c r="T53" s="5">
        <f t="shared" si="35"/>
        <v>100.07999999999998</v>
      </c>
      <c r="U53" s="6">
        <f t="shared" si="36"/>
        <v>1.2291051438774809</v>
      </c>
      <c r="V53" s="5">
        <f t="shared" si="37"/>
        <v>1895.33</v>
      </c>
      <c r="W53" s="5">
        <f t="shared" si="38"/>
        <v>2184.15</v>
      </c>
      <c r="X53" s="5">
        <f t="shared" si="39"/>
        <v>-288.82000000000016</v>
      </c>
      <c r="Y53" s="6">
        <f t="shared" si="40"/>
        <v>0.86776549229677447</v>
      </c>
    </row>
    <row r="54" spans="1:25" x14ac:dyDescent="0.3">
      <c r="A54" s="3" t="s">
        <v>57</v>
      </c>
      <c r="B54" s="5">
        <f>0</f>
        <v>0</v>
      </c>
      <c r="C54" s="4"/>
      <c r="D54" s="5">
        <f t="shared" si="27"/>
        <v>0</v>
      </c>
      <c r="E54" s="6" t="str">
        <f t="shared" si="28"/>
        <v/>
      </c>
      <c r="F54" s="5">
        <f>0</f>
        <v>0</v>
      </c>
      <c r="G54" s="4"/>
      <c r="H54" s="5">
        <f t="shared" si="29"/>
        <v>0</v>
      </c>
      <c r="I54" s="6" t="str">
        <f t="shared" si="30"/>
        <v/>
      </c>
      <c r="J54" s="5">
        <f>0</f>
        <v>0</v>
      </c>
      <c r="K54" s="4"/>
      <c r="L54" s="5">
        <f t="shared" si="31"/>
        <v>0</v>
      </c>
      <c r="M54" s="6" t="str">
        <f t="shared" si="32"/>
        <v/>
      </c>
      <c r="N54" s="5">
        <f>0</f>
        <v>0</v>
      </c>
      <c r="O54" s="4"/>
      <c r="P54" s="5">
        <f t="shared" si="33"/>
        <v>0</v>
      </c>
      <c r="Q54" s="6" t="str">
        <f t="shared" si="34"/>
        <v/>
      </c>
      <c r="R54" s="5">
        <f>0</f>
        <v>0</v>
      </c>
      <c r="S54" s="4"/>
      <c r="T54" s="5">
        <f t="shared" si="35"/>
        <v>0</v>
      </c>
      <c r="U54" s="6" t="str">
        <f t="shared" si="36"/>
        <v/>
      </c>
      <c r="V54" s="5">
        <f t="shared" si="37"/>
        <v>0</v>
      </c>
      <c r="W54" s="5">
        <f t="shared" si="38"/>
        <v>0</v>
      </c>
      <c r="X54" s="5">
        <f t="shared" si="39"/>
        <v>0</v>
      </c>
      <c r="Y54" s="6" t="str">
        <f t="shared" si="40"/>
        <v/>
      </c>
    </row>
    <row r="55" spans="1:25" x14ac:dyDescent="0.3">
      <c r="A55" s="3" t="s">
        <v>58</v>
      </c>
      <c r="B55" s="7">
        <f>(((B51)+(B52))+(B53))+(B54)</f>
        <v>1152.68</v>
      </c>
      <c r="C55" s="7">
        <f>(((C51)+(C52))+(C53))+(C54)</f>
        <v>1248</v>
      </c>
      <c r="D55" s="7">
        <f t="shared" si="27"/>
        <v>-95.319999999999936</v>
      </c>
      <c r="E55" s="8">
        <f t="shared" si="28"/>
        <v>0.92362179487179497</v>
      </c>
      <c r="F55" s="7">
        <f>(((F51)+(F52))+(F53))+(F54)</f>
        <v>860.28</v>
      </c>
      <c r="G55" s="7">
        <f>(((G51)+(G52))+(G53))+(G54)</f>
        <v>1248</v>
      </c>
      <c r="H55" s="7">
        <f t="shared" si="29"/>
        <v>-387.72</v>
      </c>
      <c r="I55" s="8">
        <f t="shared" si="30"/>
        <v>0.689326923076923</v>
      </c>
      <c r="J55" s="7">
        <f>(((J51)+(J52))+(J53))+(J54)</f>
        <v>945.71</v>
      </c>
      <c r="K55" s="7">
        <f>(((K51)+(K52))+(K53))+(K54)</f>
        <v>1248</v>
      </c>
      <c r="L55" s="7">
        <f t="shared" si="31"/>
        <v>-302.28999999999996</v>
      </c>
      <c r="M55" s="8">
        <f t="shared" si="32"/>
        <v>0.7577804487179487</v>
      </c>
      <c r="N55" s="7">
        <f>(((N51)+(N52))+(N53))+(N54)</f>
        <v>922.52</v>
      </c>
      <c r="O55" s="7">
        <f>(((O51)+(O52))+(O53))+(O54)</f>
        <v>1248</v>
      </c>
      <c r="P55" s="7">
        <f t="shared" si="33"/>
        <v>-325.48</v>
      </c>
      <c r="Q55" s="8">
        <f t="shared" si="34"/>
        <v>0.73919871794871794</v>
      </c>
      <c r="R55" s="7">
        <f>(((R51)+(R52))+(R53))+(R54)</f>
        <v>1534.02</v>
      </c>
      <c r="S55" s="7">
        <f>(((S51)+(S52))+(S53))+(S54)</f>
        <v>1248</v>
      </c>
      <c r="T55" s="7">
        <f t="shared" si="35"/>
        <v>286.02</v>
      </c>
      <c r="U55" s="8">
        <f t="shared" si="36"/>
        <v>1.2291826923076923</v>
      </c>
      <c r="V55" s="7">
        <f t="shared" si="37"/>
        <v>5415.21</v>
      </c>
      <c r="W55" s="7">
        <f t="shared" si="38"/>
        <v>6240</v>
      </c>
      <c r="X55" s="7">
        <f t="shared" si="39"/>
        <v>-824.79</v>
      </c>
      <c r="Y55" s="8">
        <f t="shared" si="40"/>
        <v>0.8678221153846154</v>
      </c>
    </row>
    <row r="56" spans="1:25" x14ac:dyDescent="0.3">
      <c r="A56" s="3" t="s">
        <v>59</v>
      </c>
      <c r="B56" s="4"/>
      <c r="C56" s="4"/>
      <c r="D56" s="5">
        <f t="shared" si="27"/>
        <v>0</v>
      </c>
      <c r="E56" s="6" t="str">
        <f t="shared" si="28"/>
        <v/>
      </c>
      <c r="F56" s="4"/>
      <c r="G56" s="4"/>
      <c r="H56" s="5">
        <f t="shared" si="29"/>
        <v>0</v>
      </c>
      <c r="I56" s="6" t="str">
        <f t="shared" si="30"/>
        <v/>
      </c>
      <c r="J56" s="4"/>
      <c r="K56" s="4"/>
      <c r="L56" s="5">
        <f t="shared" si="31"/>
        <v>0</v>
      </c>
      <c r="M56" s="6" t="str">
        <f t="shared" si="32"/>
        <v/>
      </c>
      <c r="N56" s="4"/>
      <c r="O56" s="4"/>
      <c r="P56" s="5">
        <f t="shared" si="33"/>
        <v>0</v>
      </c>
      <c r="Q56" s="6" t="str">
        <f t="shared" si="34"/>
        <v/>
      </c>
      <c r="R56" s="4"/>
      <c r="S56" s="4"/>
      <c r="T56" s="5">
        <f t="shared" si="35"/>
        <v>0</v>
      </c>
      <c r="U56" s="6" t="str">
        <f t="shared" si="36"/>
        <v/>
      </c>
      <c r="V56" s="5">
        <f t="shared" si="37"/>
        <v>0</v>
      </c>
      <c r="W56" s="5">
        <f t="shared" si="38"/>
        <v>0</v>
      </c>
      <c r="X56" s="5">
        <f t="shared" si="39"/>
        <v>0</v>
      </c>
      <c r="Y56" s="6" t="str">
        <f t="shared" si="40"/>
        <v/>
      </c>
    </row>
    <row r="57" spans="1:25" x14ac:dyDescent="0.3">
      <c r="A57" s="3" t="s">
        <v>60</v>
      </c>
      <c r="B57" s="5">
        <f>304.65</f>
        <v>304.64999999999998</v>
      </c>
      <c r="C57" s="5">
        <f>395.25</f>
        <v>395.25</v>
      </c>
      <c r="D57" s="5">
        <f t="shared" si="27"/>
        <v>-90.600000000000023</v>
      </c>
      <c r="E57" s="6">
        <f t="shared" si="28"/>
        <v>0.77077798861480074</v>
      </c>
      <c r="F57" s="5">
        <f>365.13</f>
        <v>365.13</v>
      </c>
      <c r="G57" s="5">
        <f>395.25</f>
        <v>395.25</v>
      </c>
      <c r="H57" s="5">
        <f t="shared" si="29"/>
        <v>-30.120000000000005</v>
      </c>
      <c r="I57" s="6">
        <f t="shared" si="30"/>
        <v>0.92379506641366227</v>
      </c>
      <c r="J57" s="5">
        <f>547.7</f>
        <v>547.70000000000005</v>
      </c>
      <c r="K57" s="5">
        <f>395.25</f>
        <v>395.25</v>
      </c>
      <c r="L57" s="5">
        <f t="shared" si="31"/>
        <v>152.45000000000005</v>
      </c>
      <c r="M57" s="6">
        <f t="shared" si="32"/>
        <v>1.3857052498418723</v>
      </c>
      <c r="N57" s="5">
        <f>365.13</f>
        <v>365.13</v>
      </c>
      <c r="O57" s="5">
        <f>395.25</f>
        <v>395.25</v>
      </c>
      <c r="P57" s="5">
        <f t="shared" si="33"/>
        <v>-30.120000000000005</v>
      </c>
      <c r="Q57" s="6">
        <f t="shared" si="34"/>
        <v>0.92379506641366227</v>
      </c>
      <c r="R57" s="5">
        <f>365.13</f>
        <v>365.13</v>
      </c>
      <c r="S57" s="5">
        <f>395.25</f>
        <v>395.25</v>
      </c>
      <c r="T57" s="5">
        <f t="shared" si="35"/>
        <v>-30.120000000000005</v>
      </c>
      <c r="U57" s="6">
        <f t="shared" si="36"/>
        <v>0.92379506641366227</v>
      </c>
      <c r="V57" s="5">
        <f t="shared" si="37"/>
        <v>1947.7400000000002</v>
      </c>
      <c r="W57" s="5">
        <f t="shared" si="38"/>
        <v>1976.25</v>
      </c>
      <c r="X57" s="5">
        <f t="shared" si="39"/>
        <v>-28.509999999999764</v>
      </c>
      <c r="Y57" s="6">
        <f t="shared" si="40"/>
        <v>0.98557368753953201</v>
      </c>
    </row>
    <row r="58" spans="1:25" x14ac:dyDescent="0.3">
      <c r="A58" s="3" t="s">
        <v>61</v>
      </c>
      <c r="B58" s="5">
        <f>164.04</f>
        <v>164.04</v>
      </c>
      <c r="C58" s="5">
        <f>212.83</f>
        <v>212.83</v>
      </c>
      <c r="D58" s="5">
        <f t="shared" si="27"/>
        <v>-48.79000000000002</v>
      </c>
      <c r="E58" s="6">
        <f t="shared" si="28"/>
        <v>0.77075600244326448</v>
      </c>
      <c r="F58" s="5">
        <f>196.61</f>
        <v>196.61</v>
      </c>
      <c r="G58" s="5">
        <f>212.83</f>
        <v>212.83</v>
      </c>
      <c r="H58" s="5">
        <f t="shared" si="29"/>
        <v>-16.22</v>
      </c>
      <c r="I58" s="6">
        <f t="shared" si="30"/>
        <v>0.92378893952920171</v>
      </c>
      <c r="J58" s="5">
        <f>294.91</f>
        <v>294.91000000000003</v>
      </c>
      <c r="K58" s="5">
        <f>212.83</f>
        <v>212.83</v>
      </c>
      <c r="L58" s="5">
        <f t="shared" si="31"/>
        <v>82.080000000000013</v>
      </c>
      <c r="M58" s="6">
        <f t="shared" si="32"/>
        <v>1.3856599163651742</v>
      </c>
      <c r="N58" s="5">
        <f>196.61</f>
        <v>196.61</v>
      </c>
      <c r="O58" s="5">
        <f>212.83</f>
        <v>212.83</v>
      </c>
      <c r="P58" s="5">
        <f t="shared" si="33"/>
        <v>-16.22</v>
      </c>
      <c r="Q58" s="6">
        <f t="shared" si="34"/>
        <v>0.92378893952920171</v>
      </c>
      <c r="R58" s="5">
        <f>196.61</f>
        <v>196.61</v>
      </c>
      <c r="S58" s="5">
        <f>212.83</f>
        <v>212.83</v>
      </c>
      <c r="T58" s="5">
        <f t="shared" si="35"/>
        <v>-16.22</v>
      </c>
      <c r="U58" s="6">
        <f t="shared" si="36"/>
        <v>0.92378893952920171</v>
      </c>
      <c r="V58" s="5">
        <f t="shared" si="37"/>
        <v>1048.78</v>
      </c>
      <c r="W58" s="5">
        <f t="shared" si="38"/>
        <v>1064.1500000000001</v>
      </c>
      <c r="X58" s="5">
        <f t="shared" si="39"/>
        <v>-15.370000000000118</v>
      </c>
      <c r="Y58" s="6">
        <f t="shared" si="40"/>
        <v>0.98555654747920862</v>
      </c>
    </row>
    <row r="59" spans="1:25" x14ac:dyDescent="0.3">
      <c r="A59" s="3" t="s">
        <v>62</v>
      </c>
      <c r="B59" s="5">
        <f>0</f>
        <v>0</v>
      </c>
      <c r="C59" s="4"/>
      <c r="D59" s="5">
        <f t="shared" si="27"/>
        <v>0</v>
      </c>
      <c r="E59" s="6" t="str">
        <f t="shared" si="28"/>
        <v/>
      </c>
      <c r="F59" s="5">
        <f>0</f>
        <v>0</v>
      </c>
      <c r="G59" s="4"/>
      <c r="H59" s="5">
        <f t="shared" si="29"/>
        <v>0</v>
      </c>
      <c r="I59" s="6" t="str">
        <f t="shared" si="30"/>
        <v/>
      </c>
      <c r="J59" s="5">
        <f>0</f>
        <v>0</v>
      </c>
      <c r="K59" s="4"/>
      <c r="L59" s="5">
        <f t="shared" si="31"/>
        <v>0</v>
      </c>
      <c r="M59" s="6" t="str">
        <f t="shared" si="32"/>
        <v/>
      </c>
      <c r="N59" s="5">
        <f>0</f>
        <v>0</v>
      </c>
      <c r="O59" s="4"/>
      <c r="P59" s="5">
        <f t="shared" si="33"/>
        <v>0</v>
      </c>
      <c r="Q59" s="6" t="str">
        <f t="shared" si="34"/>
        <v/>
      </c>
      <c r="R59" s="5">
        <f>0</f>
        <v>0</v>
      </c>
      <c r="S59" s="4"/>
      <c r="T59" s="5">
        <f t="shared" si="35"/>
        <v>0</v>
      </c>
      <c r="U59" s="6" t="str">
        <f t="shared" si="36"/>
        <v/>
      </c>
      <c r="V59" s="5">
        <f t="shared" si="37"/>
        <v>0</v>
      </c>
      <c r="W59" s="5">
        <f t="shared" si="38"/>
        <v>0</v>
      </c>
      <c r="X59" s="5">
        <f t="shared" si="39"/>
        <v>0</v>
      </c>
      <c r="Y59" s="6" t="str">
        <f t="shared" si="40"/>
        <v/>
      </c>
    </row>
    <row r="60" spans="1:25" x14ac:dyDescent="0.3">
      <c r="A60" s="3" t="s">
        <v>63</v>
      </c>
      <c r="B60" s="7">
        <f>(((B56)+(B57))+(B58))+(B59)</f>
        <v>468.68999999999994</v>
      </c>
      <c r="C60" s="7">
        <f>(((C56)+(C57))+(C58))+(C59)</f>
        <v>608.08000000000004</v>
      </c>
      <c r="D60" s="7">
        <f t="shared" si="27"/>
        <v>-139.3900000000001</v>
      </c>
      <c r="E60" s="8">
        <f t="shared" si="28"/>
        <v>0.77077029338244951</v>
      </c>
      <c r="F60" s="7">
        <f>(((F56)+(F57))+(F58))+(F59)</f>
        <v>561.74</v>
      </c>
      <c r="G60" s="7">
        <f>(((G56)+(G57))+(G58))+(G59)</f>
        <v>608.08000000000004</v>
      </c>
      <c r="H60" s="7">
        <f t="shared" si="29"/>
        <v>-46.340000000000032</v>
      </c>
      <c r="I60" s="8">
        <f t="shared" si="30"/>
        <v>0.92379292198394947</v>
      </c>
      <c r="J60" s="7">
        <f>(((J56)+(J57))+(J58))+(J59)</f>
        <v>842.61000000000013</v>
      </c>
      <c r="K60" s="7">
        <f>(((K56)+(K57))+(K58))+(K59)</f>
        <v>608.08000000000004</v>
      </c>
      <c r="L60" s="7">
        <f t="shared" si="31"/>
        <v>234.53000000000009</v>
      </c>
      <c r="M60" s="8">
        <f t="shared" si="32"/>
        <v>1.3856893829759243</v>
      </c>
      <c r="N60" s="7">
        <f>(((N56)+(N57))+(N58))+(N59)</f>
        <v>561.74</v>
      </c>
      <c r="O60" s="7">
        <f>(((O56)+(O57))+(O58))+(O59)</f>
        <v>608.08000000000004</v>
      </c>
      <c r="P60" s="7">
        <f t="shared" si="33"/>
        <v>-46.340000000000032</v>
      </c>
      <c r="Q60" s="8">
        <f t="shared" si="34"/>
        <v>0.92379292198394947</v>
      </c>
      <c r="R60" s="7">
        <f>(((R56)+(R57))+(R58))+(R59)</f>
        <v>561.74</v>
      </c>
      <c r="S60" s="7">
        <f>(((S56)+(S57))+(S58))+(S59)</f>
        <v>608.08000000000004</v>
      </c>
      <c r="T60" s="7">
        <f t="shared" si="35"/>
        <v>-46.340000000000032</v>
      </c>
      <c r="U60" s="8">
        <f t="shared" si="36"/>
        <v>0.92379292198394947</v>
      </c>
      <c r="V60" s="7">
        <f t="shared" si="37"/>
        <v>2996.5199999999995</v>
      </c>
      <c r="W60" s="7">
        <f t="shared" si="38"/>
        <v>3040.4</v>
      </c>
      <c r="X60" s="7">
        <f t="shared" si="39"/>
        <v>-43.880000000000564</v>
      </c>
      <c r="Y60" s="8">
        <f t="shared" si="40"/>
        <v>0.98556768846204423</v>
      </c>
    </row>
    <row r="61" spans="1:25" x14ac:dyDescent="0.3">
      <c r="A61" s="3" t="s">
        <v>64</v>
      </c>
      <c r="B61" s="4"/>
      <c r="C61" s="4"/>
      <c r="D61" s="5">
        <f t="shared" si="27"/>
        <v>0</v>
      </c>
      <c r="E61" s="6" t="str">
        <f t="shared" si="28"/>
        <v/>
      </c>
      <c r="F61" s="4"/>
      <c r="G61" s="4"/>
      <c r="H61" s="5">
        <f t="shared" si="29"/>
        <v>0</v>
      </c>
      <c r="I61" s="6" t="str">
        <f t="shared" si="30"/>
        <v/>
      </c>
      <c r="J61" s="4"/>
      <c r="K61" s="4"/>
      <c r="L61" s="5">
        <f t="shared" si="31"/>
        <v>0</v>
      </c>
      <c r="M61" s="6" t="str">
        <f t="shared" si="32"/>
        <v/>
      </c>
      <c r="N61" s="4"/>
      <c r="O61" s="4"/>
      <c r="P61" s="5">
        <f t="shared" si="33"/>
        <v>0</v>
      </c>
      <c r="Q61" s="6" t="str">
        <f t="shared" si="34"/>
        <v/>
      </c>
      <c r="R61" s="4"/>
      <c r="S61" s="4"/>
      <c r="T61" s="5">
        <f t="shared" si="35"/>
        <v>0</v>
      </c>
      <c r="U61" s="6" t="str">
        <f t="shared" si="36"/>
        <v/>
      </c>
      <c r="V61" s="5">
        <f t="shared" si="37"/>
        <v>0</v>
      </c>
      <c r="W61" s="5">
        <f t="shared" si="38"/>
        <v>0</v>
      </c>
      <c r="X61" s="5">
        <f t="shared" si="39"/>
        <v>0</v>
      </c>
      <c r="Y61" s="6" t="str">
        <f t="shared" si="40"/>
        <v/>
      </c>
    </row>
    <row r="62" spans="1:25" x14ac:dyDescent="0.3">
      <c r="A62" s="3" t="s">
        <v>65</v>
      </c>
      <c r="B62" s="5">
        <f>127.4</f>
        <v>127.4</v>
      </c>
      <c r="C62" s="5">
        <f>132.5</f>
        <v>132.5</v>
      </c>
      <c r="D62" s="5">
        <f t="shared" si="27"/>
        <v>-5.0999999999999943</v>
      </c>
      <c r="E62" s="6">
        <f t="shared" si="28"/>
        <v>0.96150943396226418</v>
      </c>
      <c r="F62" s="5">
        <f>127.4</f>
        <v>127.4</v>
      </c>
      <c r="G62" s="5">
        <f>132.5</f>
        <v>132.5</v>
      </c>
      <c r="H62" s="5">
        <f t="shared" si="29"/>
        <v>-5.0999999999999943</v>
      </c>
      <c r="I62" s="6">
        <f t="shared" si="30"/>
        <v>0.96150943396226418</v>
      </c>
      <c r="J62" s="5">
        <f>127.4</f>
        <v>127.4</v>
      </c>
      <c r="K62" s="5">
        <f>132.5</f>
        <v>132.5</v>
      </c>
      <c r="L62" s="5">
        <f t="shared" si="31"/>
        <v>-5.0999999999999943</v>
      </c>
      <c r="M62" s="6">
        <f t="shared" si="32"/>
        <v>0.96150943396226418</v>
      </c>
      <c r="N62" s="5">
        <f>127.4</f>
        <v>127.4</v>
      </c>
      <c r="O62" s="5">
        <f>132.5</f>
        <v>132.5</v>
      </c>
      <c r="P62" s="5">
        <f t="shared" si="33"/>
        <v>-5.0999999999999943</v>
      </c>
      <c r="Q62" s="6">
        <f t="shared" si="34"/>
        <v>0.96150943396226418</v>
      </c>
      <c r="R62" s="5">
        <f>127.4</f>
        <v>127.4</v>
      </c>
      <c r="S62" s="5">
        <f>132.5</f>
        <v>132.5</v>
      </c>
      <c r="T62" s="5">
        <f t="shared" si="35"/>
        <v>-5.0999999999999943</v>
      </c>
      <c r="U62" s="6">
        <f t="shared" si="36"/>
        <v>0.96150943396226418</v>
      </c>
      <c r="V62" s="5">
        <f t="shared" si="37"/>
        <v>637</v>
      </c>
      <c r="W62" s="5">
        <f t="shared" si="38"/>
        <v>662.5</v>
      </c>
      <c r="X62" s="5">
        <f t="shared" si="39"/>
        <v>-25.5</v>
      </c>
      <c r="Y62" s="6">
        <f t="shared" si="40"/>
        <v>0.96150943396226418</v>
      </c>
    </row>
    <row r="63" spans="1:25" x14ac:dyDescent="0.3">
      <c r="A63" s="3" t="s">
        <v>66</v>
      </c>
      <c r="B63" s="5">
        <f>68.6</f>
        <v>68.599999999999994</v>
      </c>
      <c r="C63" s="5">
        <f>71.33</f>
        <v>71.33</v>
      </c>
      <c r="D63" s="5">
        <f t="shared" si="27"/>
        <v>-2.730000000000004</v>
      </c>
      <c r="E63" s="6">
        <f t="shared" si="28"/>
        <v>0.96172718351324826</v>
      </c>
      <c r="F63" s="5">
        <f>68.6</f>
        <v>68.599999999999994</v>
      </c>
      <c r="G63" s="5">
        <f>71.33</f>
        <v>71.33</v>
      </c>
      <c r="H63" s="5">
        <f t="shared" si="29"/>
        <v>-2.730000000000004</v>
      </c>
      <c r="I63" s="6">
        <f t="shared" si="30"/>
        <v>0.96172718351324826</v>
      </c>
      <c r="J63" s="5">
        <f>68.6</f>
        <v>68.599999999999994</v>
      </c>
      <c r="K63" s="5">
        <f>71.33</f>
        <v>71.33</v>
      </c>
      <c r="L63" s="5">
        <f t="shared" si="31"/>
        <v>-2.730000000000004</v>
      </c>
      <c r="M63" s="6">
        <f t="shared" si="32"/>
        <v>0.96172718351324826</v>
      </c>
      <c r="N63" s="5">
        <f>68.6</f>
        <v>68.599999999999994</v>
      </c>
      <c r="O63" s="5">
        <f>71.33</f>
        <v>71.33</v>
      </c>
      <c r="P63" s="5">
        <f t="shared" si="33"/>
        <v>-2.730000000000004</v>
      </c>
      <c r="Q63" s="6">
        <f t="shared" si="34"/>
        <v>0.96172718351324826</v>
      </c>
      <c r="R63" s="5">
        <f>68.6</f>
        <v>68.599999999999994</v>
      </c>
      <c r="S63" s="5">
        <f>71.33</f>
        <v>71.33</v>
      </c>
      <c r="T63" s="5">
        <f t="shared" si="35"/>
        <v>-2.730000000000004</v>
      </c>
      <c r="U63" s="6">
        <f t="shared" si="36"/>
        <v>0.96172718351324826</v>
      </c>
      <c r="V63" s="5">
        <f t="shared" si="37"/>
        <v>343</v>
      </c>
      <c r="W63" s="5">
        <f t="shared" si="38"/>
        <v>356.65</v>
      </c>
      <c r="X63" s="5">
        <f t="shared" si="39"/>
        <v>-13.649999999999977</v>
      </c>
      <c r="Y63" s="6">
        <f t="shared" si="40"/>
        <v>0.96172718351324837</v>
      </c>
    </row>
    <row r="64" spans="1:25" x14ac:dyDescent="0.3">
      <c r="A64" s="3" t="s">
        <v>67</v>
      </c>
      <c r="B64" s="5">
        <f>0</f>
        <v>0</v>
      </c>
      <c r="C64" s="4"/>
      <c r="D64" s="5">
        <f t="shared" si="27"/>
        <v>0</v>
      </c>
      <c r="E64" s="6" t="str">
        <f t="shared" si="28"/>
        <v/>
      </c>
      <c r="F64" s="5">
        <f>0</f>
        <v>0</v>
      </c>
      <c r="G64" s="4"/>
      <c r="H64" s="5">
        <f t="shared" si="29"/>
        <v>0</v>
      </c>
      <c r="I64" s="6" t="str">
        <f t="shared" si="30"/>
        <v/>
      </c>
      <c r="J64" s="5">
        <f>0</f>
        <v>0</v>
      </c>
      <c r="K64" s="4"/>
      <c r="L64" s="5">
        <f t="shared" si="31"/>
        <v>0</v>
      </c>
      <c r="M64" s="6" t="str">
        <f t="shared" si="32"/>
        <v/>
      </c>
      <c r="N64" s="5">
        <f>0</f>
        <v>0</v>
      </c>
      <c r="O64" s="4"/>
      <c r="P64" s="5">
        <f t="shared" si="33"/>
        <v>0</v>
      </c>
      <c r="Q64" s="6" t="str">
        <f t="shared" si="34"/>
        <v/>
      </c>
      <c r="R64" s="5">
        <f>0</f>
        <v>0</v>
      </c>
      <c r="S64" s="4"/>
      <c r="T64" s="5">
        <f t="shared" si="35"/>
        <v>0</v>
      </c>
      <c r="U64" s="6" t="str">
        <f t="shared" si="36"/>
        <v/>
      </c>
      <c r="V64" s="5">
        <f t="shared" si="37"/>
        <v>0</v>
      </c>
      <c r="W64" s="5">
        <f t="shared" si="38"/>
        <v>0</v>
      </c>
      <c r="X64" s="5">
        <f t="shared" si="39"/>
        <v>0</v>
      </c>
      <c r="Y64" s="6" t="str">
        <f t="shared" si="40"/>
        <v/>
      </c>
    </row>
    <row r="65" spans="1:25" x14ac:dyDescent="0.3">
      <c r="A65" s="3" t="s">
        <v>68</v>
      </c>
      <c r="B65" s="7">
        <f>(((B61)+(B62))+(B63))+(B64)</f>
        <v>196</v>
      </c>
      <c r="C65" s="7">
        <f>(((C61)+(C62))+(C63))+(C64)</f>
        <v>203.82999999999998</v>
      </c>
      <c r="D65" s="7">
        <f t="shared" si="27"/>
        <v>-7.8299999999999841</v>
      </c>
      <c r="E65" s="8">
        <f t="shared" si="28"/>
        <v>0.96158563508806361</v>
      </c>
      <c r="F65" s="7">
        <f>(((F61)+(F62))+(F63))+(F64)</f>
        <v>196</v>
      </c>
      <c r="G65" s="7">
        <f>(((G61)+(G62))+(G63))+(G64)</f>
        <v>203.82999999999998</v>
      </c>
      <c r="H65" s="7">
        <f t="shared" si="29"/>
        <v>-7.8299999999999841</v>
      </c>
      <c r="I65" s="8">
        <f t="shared" si="30"/>
        <v>0.96158563508806361</v>
      </c>
      <c r="J65" s="7">
        <f>(((J61)+(J62))+(J63))+(J64)</f>
        <v>196</v>
      </c>
      <c r="K65" s="7">
        <f>(((K61)+(K62))+(K63))+(K64)</f>
        <v>203.82999999999998</v>
      </c>
      <c r="L65" s="7">
        <f t="shared" si="31"/>
        <v>-7.8299999999999841</v>
      </c>
      <c r="M65" s="8">
        <f t="shared" si="32"/>
        <v>0.96158563508806361</v>
      </c>
      <c r="N65" s="7">
        <f>(((N61)+(N62))+(N63))+(N64)</f>
        <v>196</v>
      </c>
      <c r="O65" s="7">
        <f>(((O61)+(O62))+(O63))+(O64)</f>
        <v>203.82999999999998</v>
      </c>
      <c r="P65" s="7">
        <f t="shared" si="33"/>
        <v>-7.8299999999999841</v>
      </c>
      <c r="Q65" s="8">
        <f t="shared" si="34"/>
        <v>0.96158563508806361</v>
      </c>
      <c r="R65" s="7">
        <f>(((R61)+(R62))+(R63))+(R64)</f>
        <v>196</v>
      </c>
      <c r="S65" s="7">
        <f>(((S61)+(S62))+(S63))+(S64)</f>
        <v>203.82999999999998</v>
      </c>
      <c r="T65" s="7">
        <f t="shared" si="35"/>
        <v>-7.8299999999999841</v>
      </c>
      <c r="U65" s="8">
        <f t="shared" si="36"/>
        <v>0.96158563508806361</v>
      </c>
      <c r="V65" s="7">
        <f t="shared" si="37"/>
        <v>980</v>
      </c>
      <c r="W65" s="7">
        <f t="shared" si="38"/>
        <v>1019.1499999999999</v>
      </c>
      <c r="X65" s="7">
        <f t="shared" si="39"/>
        <v>-39.149999999999864</v>
      </c>
      <c r="Y65" s="8">
        <f t="shared" si="40"/>
        <v>0.96158563508806372</v>
      </c>
    </row>
    <row r="66" spans="1:25" x14ac:dyDescent="0.3">
      <c r="A66" s="3" t="s">
        <v>69</v>
      </c>
      <c r="B66" s="4"/>
      <c r="C66" s="4"/>
      <c r="D66" s="5">
        <f t="shared" si="27"/>
        <v>0</v>
      </c>
      <c r="E66" s="6" t="str">
        <f t="shared" si="28"/>
        <v/>
      </c>
      <c r="F66" s="4"/>
      <c r="G66" s="4"/>
      <c r="H66" s="5">
        <f t="shared" si="29"/>
        <v>0</v>
      </c>
      <c r="I66" s="6" t="str">
        <f t="shared" si="30"/>
        <v/>
      </c>
      <c r="J66" s="4"/>
      <c r="K66" s="4"/>
      <c r="L66" s="5">
        <f t="shared" si="31"/>
        <v>0</v>
      </c>
      <c r="M66" s="6" t="str">
        <f t="shared" si="32"/>
        <v/>
      </c>
      <c r="N66" s="4"/>
      <c r="O66" s="4"/>
      <c r="P66" s="5">
        <f t="shared" si="33"/>
        <v>0</v>
      </c>
      <c r="Q66" s="6" t="str">
        <f t="shared" si="34"/>
        <v/>
      </c>
      <c r="R66" s="4"/>
      <c r="S66" s="4"/>
      <c r="T66" s="5">
        <f t="shared" si="35"/>
        <v>0</v>
      </c>
      <c r="U66" s="6" t="str">
        <f t="shared" si="36"/>
        <v/>
      </c>
      <c r="V66" s="5">
        <f t="shared" si="37"/>
        <v>0</v>
      </c>
      <c r="W66" s="5">
        <f t="shared" si="38"/>
        <v>0</v>
      </c>
      <c r="X66" s="5">
        <f t="shared" si="39"/>
        <v>0</v>
      </c>
      <c r="Y66" s="6" t="str">
        <f t="shared" si="40"/>
        <v/>
      </c>
    </row>
    <row r="67" spans="1:25" x14ac:dyDescent="0.3">
      <c r="A67" s="3" t="s">
        <v>70</v>
      </c>
      <c r="B67" s="5">
        <f>619.7</f>
        <v>619.70000000000005</v>
      </c>
      <c r="C67" s="5">
        <f>425.08</f>
        <v>425.08</v>
      </c>
      <c r="D67" s="5">
        <f t="shared" si="27"/>
        <v>194.62000000000006</v>
      </c>
      <c r="E67" s="6">
        <f t="shared" si="28"/>
        <v>1.4578432295097394</v>
      </c>
      <c r="F67" s="5">
        <f>411.63</f>
        <v>411.63</v>
      </c>
      <c r="G67" s="5">
        <f>425.08</f>
        <v>425.08</v>
      </c>
      <c r="H67" s="5">
        <f t="shared" si="29"/>
        <v>-13.449999999999989</v>
      </c>
      <c r="I67" s="6">
        <f t="shared" si="30"/>
        <v>0.96835889714877199</v>
      </c>
      <c r="J67" s="5">
        <f>414.52</f>
        <v>414.52</v>
      </c>
      <c r="K67" s="5">
        <f>425.08</f>
        <v>425.08</v>
      </c>
      <c r="L67" s="5">
        <f t="shared" si="31"/>
        <v>-10.560000000000002</v>
      </c>
      <c r="M67" s="6">
        <f t="shared" si="32"/>
        <v>0.97515761738966777</v>
      </c>
      <c r="N67" s="5">
        <f>414.54</f>
        <v>414.54</v>
      </c>
      <c r="O67" s="5">
        <f>425.08</f>
        <v>425.08</v>
      </c>
      <c r="P67" s="5">
        <f t="shared" si="33"/>
        <v>-10.539999999999964</v>
      </c>
      <c r="Q67" s="6">
        <f t="shared" si="34"/>
        <v>0.97520466735673295</v>
      </c>
      <c r="R67" s="5">
        <f>368.45</f>
        <v>368.45</v>
      </c>
      <c r="S67" s="5">
        <f>425.08</f>
        <v>425.08</v>
      </c>
      <c r="T67" s="5">
        <f t="shared" si="35"/>
        <v>-56.629999999999995</v>
      </c>
      <c r="U67" s="6">
        <f t="shared" si="36"/>
        <v>0.86677801825538725</v>
      </c>
      <c r="V67" s="5">
        <f t="shared" si="37"/>
        <v>2228.8399999999997</v>
      </c>
      <c r="W67" s="5">
        <f t="shared" si="38"/>
        <v>2125.4</v>
      </c>
      <c r="X67" s="5">
        <f t="shared" si="39"/>
        <v>103.4399999999996</v>
      </c>
      <c r="Y67" s="6">
        <f t="shared" si="40"/>
        <v>1.0486684859320596</v>
      </c>
    </row>
    <row r="68" spans="1:25" x14ac:dyDescent="0.3">
      <c r="A68" s="3" t="s">
        <v>71</v>
      </c>
      <c r="B68" s="5">
        <f>333.69</f>
        <v>333.69</v>
      </c>
      <c r="C68" s="5">
        <f>228.92</f>
        <v>228.92</v>
      </c>
      <c r="D68" s="5">
        <f t="shared" si="27"/>
        <v>104.77000000000001</v>
      </c>
      <c r="E68" s="6">
        <f t="shared" si="28"/>
        <v>1.4576708020269091</v>
      </c>
      <c r="F68" s="5">
        <f>221.65</f>
        <v>221.65</v>
      </c>
      <c r="G68" s="5">
        <f>228.92</f>
        <v>228.92</v>
      </c>
      <c r="H68" s="5">
        <f t="shared" si="29"/>
        <v>-7.2699999999999818</v>
      </c>
      <c r="I68" s="6">
        <f t="shared" si="30"/>
        <v>0.96824218067447154</v>
      </c>
      <c r="J68" s="5">
        <f>223.21</f>
        <v>223.21</v>
      </c>
      <c r="K68" s="5">
        <f>228.92</f>
        <v>228.92</v>
      </c>
      <c r="L68" s="5">
        <f t="shared" si="31"/>
        <v>-5.7099999999999795</v>
      </c>
      <c r="M68" s="6">
        <f t="shared" si="32"/>
        <v>0.97505678839769361</v>
      </c>
      <c r="N68" s="5">
        <f>223.22</f>
        <v>223.22</v>
      </c>
      <c r="O68" s="5">
        <f>228.92</f>
        <v>228.92</v>
      </c>
      <c r="P68" s="5">
        <f t="shared" si="33"/>
        <v>-5.6999999999999886</v>
      </c>
      <c r="Q68" s="6">
        <f t="shared" si="34"/>
        <v>0.97510047178053472</v>
      </c>
      <c r="R68" s="5">
        <f>198.4</f>
        <v>198.4</v>
      </c>
      <c r="S68" s="5">
        <f>228.92</f>
        <v>228.92</v>
      </c>
      <c r="T68" s="5">
        <f t="shared" si="35"/>
        <v>-30.519999999999982</v>
      </c>
      <c r="U68" s="6">
        <f t="shared" si="36"/>
        <v>0.86667831556875774</v>
      </c>
      <c r="V68" s="5">
        <f t="shared" si="37"/>
        <v>1200.17</v>
      </c>
      <c r="W68" s="5">
        <f t="shared" si="38"/>
        <v>1144.5999999999999</v>
      </c>
      <c r="X68" s="5">
        <f t="shared" si="39"/>
        <v>55.570000000000164</v>
      </c>
      <c r="Y68" s="6">
        <f t="shared" si="40"/>
        <v>1.0485497116896734</v>
      </c>
    </row>
    <row r="69" spans="1:25" x14ac:dyDescent="0.3">
      <c r="A69" s="3" t="s">
        <v>72</v>
      </c>
      <c r="B69" s="5">
        <f>0</f>
        <v>0</v>
      </c>
      <c r="C69" s="4"/>
      <c r="D69" s="5">
        <f t="shared" si="27"/>
        <v>0</v>
      </c>
      <c r="E69" s="6" t="str">
        <f t="shared" si="28"/>
        <v/>
      </c>
      <c r="F69" s="5">
        <f>0</f>
        <v>0</v>
      </c>
      <c r="G69" s="4"/>
      <c r="H69" s="5">
        <f t="shared" si="29"/>
        <v>0</v>
      </c>
      <c r="I69" s="6" t="str">
        <f t="shared" si="30"/>
        <v/>
      </c>
      <c r="J69" s="5">
        <f>0</f>
        <v>0</v>
      </c>
      <c r="K69" s="4"/>
      <c r="L69" s="5">
        <f t="shared" si="31"/>
        <v>0</v>
      </c>
      <c r="M69" s="6" t="str">
        <f t="shared" si="32"/>
        <v/>
      </c>
      <c r="N69" s="5">
        <f>0</f>
        <v>0</v>
      </c>
      <c r="O69" s="4"/>
      <c r="P69" s="5">
        <f t="shared" si="33"/>
        <v>0</v>
      </c>
      <c r="Q69" s="6" t="str">
        <f t="shared" si="34"/>
        <v/>
      </c>
      <c r="R69" s="5">
        <f>0</f>
        <v>0</v>
      </c>
      <c r="S69" s="4"/>
      <c r="T69" s="5">
        <f t="shared" si="35"/>
        <v>0</v>
      </c>
      <c r="U69" s="6" t="str">
        <f t="shared" si="36"/>
        <v/>
      </c>
      <c r="V69" s="5">
        <f t="shared" si="37"/>
        <v>0</v>
      </c>
      <c r="W69" s="5">
        <f t="shared" si="38"/>
        <v>0</v>
      </c>
      <c r="X69" s="5">
        <f t="shared" si="39"/>
        <v>0</v>
      </c>
      <c r="Y69" s="6" t="str">
        <f t="shared" si="40"/>
        <v/>
      </c>
    </row>
    <row r="70" spans="1:25" x14ac:dyDescent="0.3">
      <c r="A70" s="3" t="s">
        <v>73</v>
      </c>
      <c r="B70" s="7">
        <f>(((B66)+(B67))+(B68))+(B69)</f>
        <v>953.3900000000001</v>
      </c>
      <c r="C70" s="7">
        <f>(((C66)+(C67))+(C68))+(C69)</f>
        <v>654</v>
      </c>
      <c r="D70" s="7">
        <f t="shared" si="27"/>
        <v>299.3900000000001</v>
      </c>
      <c r="E70" s="8">
        <f t="shared" si="28"/>
        <v>1.4577828746177373</v>
      </c>
      <c r="F70" s="7">
        <f>(((F66)+(F67))+(F68))+(F69)</f>
        <v>633.28</v>
      </c>
      <c r="G70" s="7">
        <f>(((G66)+(G67))+(G68))+(G69)</f>
        <v>654</v>
      </c>
      <c r="H70" s="7">
        <f t="shared" si="29"/>
        <v>-20.720000000000027</v>
      </c>
      <c r="I70" s="8">
        <f t="shared" si="30"/>
        <v>0.96831804281345557</v>
      </c>
      <c r="J70" s="7">
        <f>(((J66)+(J67))+(J68))+(J69)</f>
        <v>637.73</v>
      </c>
      <c r="K70" s="7">
        <f>(((K66)+(K67))+(K68))+(K69)</f>
        <v>654</v>
      </c>
      <c r="L70" s="7">
        <f t="shared" si="31"/>
        <v>-16.269999999999982</v>
      </c>
      <c r="M70" s="8">
        <f t="shared" si="32"/>
        <v>0.97512232415902145</v>
      </c>
      <c r="N70" s="7">
        <f>(((N66)+(N67))+(N68))+(N69)</f>
        <v>637.76</v>
      </c>
      <c r="O70" s="7">
        <f>(((O66)+(O67))+(O68))+(O69)</f>
        <v>654</v>
      </c>
      <c r="P70" s="7">
        <f t="shared" si="33"/>
        <v>-16.240000000000009</v>
      </c>
      <c r="Q70" s="8">
        <f t="shared" si="34"/>
        <v>0.97516819571865443</v>
      </c>
      <c r="R70" s="7">
        <f>(((R66)+(R67))+(R68))+(R69)</f>
        <v>566.85</v>
      </c>
      <c r="S70" s="7">
        <f>(((S66)+(S67))+(S68))+(S69)</f>
        <v>654</v>
      </c>
      <c r="T70" s="7">
        <f t="shared" si="35"/>
        <v>-87.149999999999977</v>
      </c>
      <c r="U70" s="8">
        <f t="shared" si="36"/>
        <v>0.86674311926605507</v>
      </c>
      <c r="V70" s="7">
        <f t="shared" si="37"/>
        <v>3429.0099999999998</v>
      </c>
      <c r="W70" s="7">
        <f t="shared" si="38"/>
        <v>3270</v>
      </c>
      <c r="X70" s="7">
        <f t="shared" si="39"/>
        <v>159.00999999999976</v>
      </c>
      <c r="Y70" s="8">
        <f t="shared" si="40"/>
        <v>1.0486269113149846</v>
      </c>
    </row>
    <row r="71" spans="1:25" x14ac:dyDescent="0.3">
      <c r="A71" s="3" t="s">
        <v>74</v>
      </c>
      <c r="B71" s="4"/>
      <c r="C71" s="4"/>
      <c r="D71" s="5">
        <f t="shared" si="27"/>
        <v>0</v>
      </c>
      <c r="E71" s="6" t="str">
        <f t="shared" si="28"/>
        <v/>
      </c>
      <c r="F71" s="4"/>
      <c r="G71" s="4"/>
      <c r="H71" s="5">
        <f t="shared" si="29"/>
        <v>0</v>
      </c>
      <c r="I71" s="6" t="str">
        <f t="shared" si="30"/>
        <v/>
      </c>
      <c r="J71" s="4"/>
      <c r="K71" s="4"/>
      <c r="L71" s="5">
        <f t="shared" si="31"/>
        <v>0</v>
      </c>
      <c r="M71" s="6" t="str">
        <f t="shared" si="32"/>
        <v/>
      </c>
      <c r="N71" s="4"/>
      <c r="O71" s="4"/>
      <c r="P71" s="5">
        <f t="shared" si="33"/>
        <v>0</v>
      </c>
      <c r="Q71" s="6" t="str">
        <f t="shared" si="34"/>
        <v/>
      </c>
      <c r="R71" s="4"/>
      <c r="S71" s="4"/>
      <c r="T71" s="5">
        <f t="shared" si="35"/>
        <v>0</v>
      </c>
      <c r="U71" s="6" t="str">
        <f t="shared" si="36"/>
        <v/>
      </c>
      <c r="V71" s="5">
        <f t="shared" si="37"/>
        <v>0</v>
      </c>
      <c r="W71" s="5">
        <f t="shared" si="38"/>
        <v>0</v>
      </c>
      <c r="X71" s="5">
        <f t="shared" si="39"/>
        <v>0</v>
      </c>
      <c r="Y71" s="6" t="str">
        <f t="shared" si="40"/>
        <v/>
      </c>
    </row>
    <row r="72" spans="1:25" x14ac:dyDescent="0.3">
      <c r="A72" s="3" t="s">
        <v>75</v>
      </c>
      <c r="B72" s="5">
        <f>0</f>
        <v>0</v>
      </c>
      <c r="C72" s="5">
        <f>270.83</f>
        <v>270.83</v>
      </c>
      <c r="D72" s="5">
        <f t="shared" si="27"/>
        <v>-270.83</v>
      </c>
      <c r="E72" s="6">
        <f t="shared" si="28"/>
        <v>0</v>
      </c>
      <c r="F72" s="4"/>
      <c r="G72" s="5">
        <f>270.83</f>
        <v>270.83</v>
      </c>
      <c r="H72" s="5">
        <f t="shared" si="29"/>
        <v>-270.83</v>
      </c>
      <c r="I72" s="6">
        <f t="shared" si="30"/>
        <v>0</v>
      </c>
      <c r="J72" s="4"/>
      <c r="K72" s="5">
        <f>270.83</f>
        <v>270.83</v>
      </c>
      <c r="L72" s="5">
        <f t="shared" si="31"/>
        <v>-270.83</v>
      </c>
      <c r="M72" s="6">
        <f t="shared" si="32"/>
        <v>0</v>
      </c>
      <c r="N72" s="4"/>
      <c r="O72" s="5">
        <f>270.83</f>
        <v>270.83</v>
      </c>
      <c r="P72" s="5">
        <f t="shared" si="33"/>
        <v>-270.83</v>
      </c>
      <c r="Q72" s="6">
        <f t="shared" si="34"/>
        <v>0</v>
      </c>
      <c r="R72" s="4"/>
      <c r="S72" s="5">
        <f>270.83</f>
        <v>270.83</v>
      </c>
      <c r="T72" s="5">
        <f t="shared" si="35"/>
        <v>-270.83</v>
      </c>
      <c r="U72" s="6">
        <f t="shared" si="36"/>
        <v>0</v>
      </c>
      <c r="V72" s="5">
        <f t="shared" si="37"/>
        <v>0</v>
      </c>
      <c r="W72" s="5">
        <f t="shared" si="38"/>
        <v>1354.1499999999999</v>
      </c>
      <c r="X72" s="5">
        <f t="shared" si="39"/>
        <v>-1354.1499999999999</v>
      </c>
      <c r="Y72" s="6">
        <f t="shared" si="40"/>
        <v>0</v>
      </c>
    </row>
    <row r="73" spans="1:25" x14ac:dyDescent="0.3">
      <c r="A73" s="3" t="s">
        <v>76</v>
      </c>
      <c r="B73" s="5">
        <f>0</f>
        <v>0</v>
      </c>
      <c r="C73" s="5">
        <f>145.83</f>
        <v>145.83000000000001</v>
      </c>
      <c r="D73" s="5">
        <f t="shared" si="27"/>
        <v>-145.83000000000001</v>
      </c>
      <c r="E73" s="6">
        <f t="shared" si="28"/>
        <v>0</v>
      </c>
      <c r="F73" s="4"/>
      <c r="G73" s="5">
        <f>145.83</f>
        <v>145.83000000000001</v>
      </c>
      <c r="H73" s="5">
        <f t="shared" si="29"/>
        <v>-145.83000000000001</v>
      </c>
      <c r="I73" s="6">
        <f t="shared" si="30"/>
        <v>0</v>
      </c>
      <c r="J73" s="4"/>
      <c r="K73" s="5">
        <f>145.83</f>
        <v>145.83000000000001</v>
      </c>
      <c r="L73" s="5">
        <f t="shared" si="31"/>
        <v>-145.83000000000001</v>
      </c>
      <c r="M73" s="6">
        <f t="shared" si="32"/>
        <v>0</v>
      </c>
      <c r="N73" s="4"/>
      <c r="O73" s="5">
        <f>145.83</f>
        <v>145.83000000000001</v>
      </c>
      <c r="P73" s="5">
        <f t="shared" si="33"/>
        <v>-145.83000000000001</v>
      </c>
      <c r="Q73" s="6">
        <f t="shared" si="34"/>
        <v>0</v>
      </c>
      <c r="R73" s="4"/>
      <c r="S73" s="5">
        <f>145.83</f>
        <v>145.83000000000001</v>
      </c>
      <c r="T73" s="5">
        <f t="shared" si="35"/>
        <v>-145.83000000000001</v>
      </c>
      <c r="U73" s="6">
        <f t="shared" si="36"/>
        <v>0</v>
      </c>
      <c r="V73" s="5">
        <f t="shared" si="37"/>
        <v>0</v>
      </c>
      <c r="W73" s="5">
        <f t="shared" si="38"/>
        <v>729.15000000000009</v>
      </c>
      <c r="X73" s="5">
        <f t="shared" si="39"/>
        <v>-729.15000000000009</v>
      </c>
      <c r="Y73" s="6">
        <f t="shared" si="40"/>
        <v>0</v>
      </c>
    </row>
    <row r="74" spans="1:25" x14ac:dyDescent="0.3">
      <c r="A74" s="3" t="s">
        <v>77</v>
      </c>
      <c r="B74" s="5">
        <f>0</f>
        <v>0</v>
      </c>
      <c r="C74" s="4"/>
      <c r="D74" s="5">
        <f t="shared" si="27"/>
        <v>0</v>
      </c>
      <c r="E74" s="6" t="str">
        <f t="shared" si="28"/>
        <v/>
      </c>
      <c r="F74" s="4"/>
      <c r="G74" s="4"/>
      <c r="H74" s="5">
        <f t="shared" si="29"/>
        <v>0</v>
      </c>
      <c r="I74" s="6" t="str">
        <f t="shared" si="30"/>
        <v/>
      </c>
      <c r="J74" s="4"/>
      <c r="K74" s="4"/>
      <c r="L74" s="5">
        <f t="shared" si="31"/>
        <v>0</v>
      </c>
      <c r="M74" s="6" t="str">
        <f t="shared" si="32"/>
        <v/>
      </c>
      <c r="N74" s="4"/>
      <c r="O74" s="4"/>
      <c r="P74" s="5">
        <f t="shared" si="33"/>
        <v>0</v>
      </c>
      <c r="Q74" s="6" t="str">
        <f t="shared" si="34"/>
        <v/>
      </c>
      <c r="R74" s="4"/>
      <c r="S74" s="4"/>
      <c r="T74" s="5">
        <f t="shared" si="35"/>
        <v>0</v>
      </c>
      <c r="U74" s="6" t="str">
        <f t="shared" si="36"/>
        <v/>
      </c>
      <c r="V74" s="5">
        <f t="shared" si="37"/>
        <v>0</v>
      </c>
      <c r="W74" s="5">
        <f t="shared" si="38"/>
        <v>0</v>
      </c>
      <c r="X74" s="5">
        <f t="shared" si="39"/>
        <v>0</v>
      </c>
      <c r="Y74" s="6" t="str">
        <f t="shared" si="40"/>
        <v/>
      </c>
    </row>
    <row r="75" spans="1:25" x14ac:dyDescent="0.3">
      <c r="A75" s="3" t="s">
        <v>78</v>
      </c>
      <c r="B75" s="7">
        <f>(((B71)+(B72))+(B73))+(B74)</f>
        <v>0</v>
      </c>
      <c r="C75" s="7">
        <f>(((C71)+(C72))+(C73))+(C74)</f>
        <v>416.65999999999997</v>
      </c>
      <c r="D75" s="7">
        <f t="shared" si="27"/>
        <v>-416.65999999999997</v>
      </c>
      <c r="E75" s="8">
        <f t="shared" si="28"/>
        <v>0</v>
      </c>
      <c r="F75" s="7">
        <f>(((F71)+(F72))+(F73))+(F74)</f>
        <v>0</v>
      </c>
      <c r="G75" s="7">
        <f>(((G71)+(G72))+(G73))+(G74)</f>
        <v>416.65999999999997</v>
      </c>
      <c r="H75" s="7">
        <f t="shared" si="29"/>
        <v>-416.65999999999997</v>
      </c>
      <c r="I75" s="8">
        <f t="shared" si="30"/>
        <v>0</v>
      </c>
      <c r="J75" s="7">
        <f>(((J71)+(J72))+(J73))+(J74)</f>
        <v>0</v>
      </c>
      <c r="K75" s="7">
        <f>(((K71)+(K72))+(K73))+(K74)</f>
        <v>416.65999999999997</v>
      </c>
      <c r="L75" s="7">
        <f t="shared" si="31"/>
        <v>-416.65999999999997</v>
      </c>
      <c r="M75" s="8">
        <f t="shared" si="32"/>
        <v>0</v>
      </c>
      <c r="N75" s="7">
        <f>(((N71)+(N72))+(N73))+(N74)</f>
        <v>0</v>
      </c>
      <c r="O75" s="7">
        <f>(((O71)+(O72))+(O73))+(O74)</f>
        <v>416.65999999999997</v>
      </c>
      <c r="P75" s="7">
        <f t="shared" si="33"/>
        <v>-416.65999999999997</v>
      </c>
      <c r="Q75" s="8">
        <f t="shared" si="34"/>
        <v>0</v>
      </c>
      <c r="R75" s="7">
        <f>(((R71)+(R72))+(R73))+(R74)</f>
        <v>0</v>
      </c>
      <c r="S75" s="7">
        <f>(((S71)+(S72))+(S73))+(S74)</f>
        <v>416.65999999999997</v>
      </c>
      <c r="T75" s="7">
        <f t="shared" si="35"/>
        <v>-416.65999999999997</v>
      </c>
      <c r="U75" s="8">
        <f t="shared" si="36"/>
        <v>0</v>
      </c>
      <c r="V75" s="7">
        <f t="shared" si="37"/>
        <v>0</v>
      </c>
      <c r="W75" s="7">
        <f t="shared" si="38"/>
        <v>2083.2999999999997</v>
      </c>
      <c r="X75" s="7">
        <f t="shared" si="39"/>
        <v>-2083.2999999999997</v>
      </c>
      <c r="Y75" s="8">
        <f t="shared" si="40"/>
        <v>0</v>
      </c>
    </row>
    <row r="76" spans="1:25" x14ac:dyDescent="0.3">
      <c r="A76" s="3" t="s">
        <v>79</v>
      </c>
      <c r="B76" s="4"/>
      <c r="C76" s="4"/>
      <c r="D76" s="5">
        <f t="shared" si="27"/>
        <v>0</v>
      </c>
      <c r="E76" s="6" t="str">
        <f t="shared" si="28"/>
        <v/>
      </c>
      <c r="F76" s="4"/>
      <c r="G76" s="4"/>
      <c r="H76" s="5">
        <f t="shared" si="29"/>
        <v>0</v>
      </c>
      <c r="I76" s="6" t="str">
        <f t="shared" si="30"/>
        <v/>
      </c>
      <c r="J76" s="4"/>
      <c r="K76" s="4"/>
      <c r="L76" s="5">
        <f t="shared" si="31"/>
        <v>0</v>
      </c>
      <c r="M76" s="6" t="str">
        <f t="shared" si="32"/>
        <v/>
      </c>
      <c r="N76" s="4"/>
      <c r="O76" s="4"/>
      <c r="P76" s="5">
        <f t="shared" si="33"/>
        <v>0</v>
      </c>
      <c r="Q76" s="6" t="str">
        <f t="shared" si="34"/>
        <v/>
      </c>
      <c r="R76" s="4"/>
      <c r="S76" s="4"/>
      <c r="T76" s="5">
        <f t="shared" si="35"/>
        <v>0</v>
      </c>
      <c r="U76" s="6" t="str">
        <f t="shared" si="36"/>
        <v/>
      </c>
      <c r="V76" s="5">
        <f t="shared" si="37"/>
        <v>0</v>
      </c>
      <c r="W76" s="5">
        <f t="shared" si="38"/>
        <v>0</v>
      </c>
      <c r="X76" s="5">
        <f t="shared" si="39"/>
        <v>0</v>
      </c>
      <c r="Y76" s="6" t="str">
        <f t="shared" si="40"/>
        <v/>
      </c>
    </row>
    <row r="77" spans="1:25" x14ac:dyDescent="0.3">
      <c r="A77" s="3" t="s">
        <v>80</v>
      </c>
      <c r="B77" s="5">
        <f>99.44</f>
        <v>99.44</v>
      </c>
      <c r="C77" s="5">
        <f>133.42</f>
        <v>133.41999999999999</v>
      </c>
      <c r="D77" s="5">
        <f t="shared" si="27"/>
        <v>-33.97999999999999</v>
      </c>
      <c r="E77" s="6">
        <f t="shared" si="28"/>
        <v>0.74531554489581775</v>
      </c>
      <c r="F77" s="5">
        <f>98.51</f>
        <v>98.51</v>
      </c>
      <c r="G77" s="5">
        <f>133.42</f>
        <v>133.41999999999999</v>
      </c>
      <c r="H77" s="5">
        <f t="shared" si="29"/>
        <v>-34.909999999999982</v>
      </c>
      <c r="I77" s="6">
        <f t="shared" si="30"/>
        <v>0.73834507570079455</v>
      </c>
      <c r="J77" s="5">
        <f>101.8</f>
        <v>101.8</v>
      </c>
      <c r="K77" s="5">
        <f>133.42</f>
        <v>133.41999999999999</v>
      </c>
      <c r="L77" s="5">
        <f t="shared" si="31"/>
        <v>-31.61999999999999</v>
      </c>
      <c r="M77" s="6">
        <f t="shared" si="32"/>
        <v>0.76300404736921001</v>
      </c>
      <c r="N77" s="5">
        <f>130.67</f>
        <v>130.66999999999999</v>
      </c>
      <c r="O77" s="5">
        <f>133.42</f>
        <v>133.41999999999999</v>
      </c>
      <c r="P77" s="5">
        <f t="shared" si="33"/>
        <v>-2.75</v>
      </c>
      <c r="Q77" s="6">
        <f t="shared" si="34"/>
        <v>0.97938839754159801</v>
      </c>
      <c r="R77" s="5">
        <f>122.24</f>
        <v>122.24</v>
      </c>
      <c r="S77" s="5">
        <f>133.42</f>
        <v>133.41999999999999</v>
      </c>
      <c r="T77" s="5">
        <f t="shared" si="35"/>
        <v>-11.179999999999993</v>
      </c>
      <c r="U77" s="6">
        <f t="shared" si="36"/>
        <v>0.91620446709638736</v>
      </c>
      <c r="V77" s="5">
        <f t="shared" si="37"/>
        <v>552.66</v>
      </c>
      <c r="W77" s="5">
        <f t="shared" si="38"/>
        <v>667.09999999999991</v>
      </c>
      <c r="X77" s="5">
        <f t="shared" si="39"/>
        <v>-114.43999999999994</v>
      </c>
      <c r="Y77" s="6">
        <f t="shared" si="40"/>
        <v>0.8284515065207616</v>
      </c>
    </row>
    <row r="78" spans="1:25" x14ac:dyDescent="0.3">
      <c r="A78" s="3" t="s">
        <v>81</v>
      </c>
      <c r="B78" s="5">
        <f>53.55</f>
        <v>53.55</v>
      </c>
      <c r="C78" s="5">
        <f>71.92</f>
        <v>71.92</v>
      </c>
      <c r="D78" s="5">
        <f t="shared" si="27"/>
        <v>-18.370000000000005</v>
      </c>
      <c r="E78" s="6">
        <f t="shared" si="28"/>
        <v>0.74457730812013345</v>
      </c>
      <c r="F78" s="5">
        <f>53.05</f>
        <v>53.05</v>
      </c>
      <c r="G78" s="5">
        <f>71.92</f>
        <v>71.92</v>
      </c>
      <c r="H78" s="5">
        <f t="shared" si="29"/>
        <v>-18.870000000000005</v>
      </c>
      <c r="I78" s="6">
        <f t="shared" si="30"/>
        <v>0.73762513904338145</v>
      </c>
      <c r="J78" s="5">
        <f>54.81</f>
        <v>54.81</v>
      </c>
      <c r="K78" s="5">
        <f>71.92</f>
        <v>71.92</v>
      </c>
      <c r="L78" s="5">
        <f t="shared" si="31"/>
        <v>-17.11</v>
      </c>
      <c r="M78" s="6">
        <f t="shared" si="32"/>
        <v>0.76209677419354838</v>
      </c>
      <c r="N78" s="5">
        <f>70.36</f>
        <v>70.36</v>
      </c>
      <c r="O78" s="5">
        <f>71.92</f>
        <v>71.92</v>
      </c>
      <c r="P78" s="5">
        <f t="shared" si="33"/>
        <v>-1.5600000000000023</v>
      </c>
      <c r="Q78" s="6">
        <f t="shared" si="34"/>
        <v>0.97830923248053392</v>
      </c>
      <c r="R78" s="5">
        <f>65.82</f>
        <v>65.819999999999993</v>
      </c>
      <c r="S78" s="5">
        <f>71.92</f>
        <v>71.92</v>
      </c>
      <c r="T78" s="5">
        <f t="shared" si="35"/>
        <v>-6.1000000000000085</v>
      </c>
      <c r="U78" s="6">
        <f t="shared" si="36"/>
        <v>0.91518353726362611</v>
      </c>
      <c r="V78" s="5">
        <f t="shared" si="37"/>
        <v>297.58999999999997</v>
      </c>
      <c r="W78" s="5">
        <f t="shared" si="38"/>
        <v>359.6</v>
      </c>
      <c r="X78" s="5">
        <f t="shared" si="39"/>
        <v>-62.010000000000048</v>
      </c>
      <c r="Y78" s="6">
        <f t="shared" si="40"/>
        <v>0.82755839822024457</v>
      </c>
    </row>
    <row r="79" spans="1:25" x14ac:dyDescent="0.3">
      <c r="A79" s="3" t="s">
        <v>82</v>
      </c>
      <c r="B79" s="5">
        <f>0</f>
        <v>0</v>
      </c>
      <c r="C79" s="4"/>
      <c r="D79" s="5">
        <f t="shared" si="27"/>
        <v>0</v>
      </c>
      <c r="E79" s="6" t="str">
        <f t="shared" si="28"/>
        <v/>
      </c>
      <c r="F79" s="5">
        <f>0</f>
        <v>0</v>
      </c>
      <c r="G79" s="4"/>
      <c r="H79" s="5">
        <f t="shared" si="29"/>
        <v>0</v>
      </c>
      <c r="I79" s="6" t="str">
        <f t="shared" si="30"/>
        <v/>
      </c>
      <c r="J79" s="5">
        <f>0</f>
        <v>0</v>
      </c>
      <c r="K79" s="4"/>
      <c r="L79" s="5">
        <f t="shared" si="31"/>
        <v>0</v>
      </c>
      <c r="M79" s="6" t="str">
        <f t="shared" si="32"/>
        <v/>
      </c>
      <c r="N79" s="5">
        <f>0</f>
        <v>0</v>
      </c>
      <c r="O79" s="4"/>
      <c r="P79" s="5">
        <f t="shared" si="33"/>
        <v>0</v>
      </c>
      <c r="Q79" s="6" t="str">
        <f t="shared" si="34"/>
        <v/>
      </c>
      <c r="R79" s="5">
        <f>0</f>
        <v>0</v>
      </c>
      <c r="S79" s="4"/>
      <c r="T79" s="5">
        <f t="shared" si="35"/>
        <v>0</v>
      </c>
      <c r="U79" s="6" t="str">
        <f t="shared" si="36"/>
        <v/>
      </c>
      <c r="V79" s="5">
        <f t="shared" si="37"/>
        <v>0</v>
      </c>
      <c r="W79" s="5">
        <f t="shared" si="38"/>
        <v>0</v>
      </c>
      <c r="X79" s="5">
        <f t="shared" si="39"/>
        <v>0</v>
      </c>
      <c r="Y79" s="6" t="str">
        <f t="shared" si="40"/>
        <v/>
      </c>
    </row>
    <row r="80" spans="1:25" x14ac:dyDescent="0.3">
      <c r="A80" s="3" t="s">
        <v>83</v>
      </c>
      <c r="B80" s="7">
        <f>(((B76)+(B77))+(B78))+(B79)</f>
        <v>152.99</v>
      </c>
      <c r="C80" s="7">
        <f>(((C76)+(C77))+(C78))+(C79)</f>
        <v>205.33999999999997</v>
      </c>
      <c r="D80" s="7">
        <f t="shared" ref="D80:D111" si="41">(B80)-(C80)</f>
        <v>-52.349999999999966</v>
      </c>
      <c r="E80" s="8">
        <f t="shared" ref="E80:E111" si="42">IF(C80=0,"",(B80)/(C80))</f>
        <v>0.74505697866952381</v>
      </c>
      <c r="F80" s="7">
        <f>(((F76)+(F77))+(F78))+(F79)</f>
        <v>151.56</v>
      </c>
      <c r="G80" s="7">
        <f>(((G76)+(G77))+(G78))+(G79)</f>
        <v>205.33999999999997</v>
      </c>
      <c r="H80" s="7">
        <f t="shared" ref="H80:H111" si="43">(F80)-(G80)</f>
        <v>-53.779999999999973</v>
      </c>
      <c r="I80" s="8">
        <f t="shared" ref="I80:I111" si="44">IF(G80=0,"",(F80)/(G80))</f>
        <v>0.73809291906106955</v>
      </c>
      <c r="J80" s="7">
        <f>(((J76)+(J77))+(J78))+(J79)</f>
        <v>156.61000000000001</v>
      </c>
      <c r="K80" s="7">
        <f>(((K76)+(K77))+(K78))+(K79)</f>
        <v>205.33999999999997</v>
      </c>
      <c r="L80" s="7">
        <f t="shared" ref="L80:L111" si="45">(J80)-(K80)</f>
        <v>-48.729999999999961</v>
      </c>
      <c r="M80" s="8">
        <f t="shared" ref="M80:M111" si="46">IF(K80=0,"",(J80)/(K80))</f>
        <v>0.76268627641959696</v>
      </c>
      <c r="N80" s="7">
        <f>(((N76)+(N77))+(N78))+(N79)</f>
        <v>201.02999999999997</v>
      </c>
      <c r="O80" s="7">
        <f>(((O76)+(O77))+(O78))+(O79)</f>
        <v>205.33999999999997</v>
      </c>
      <c r="P80" s="7">
        <f t="shared" ref="P80:P111" si="47">(N80)-(O80)</f>
        <v>-4.3100000000000023</v>
      </c>
      <c r="Q80" s="8">
        <f t="shared" ref="Q80:Q111" si="48">IF(O80=0,"",(N80)/(O80))</f>
        <v>0.97901042173955388</v>
      </c>
      <c r="R80" s="7">
        <f>(((R76)+(R77))+(R78))+(R79)</f>
        <v>188.06</v>
      </c>
      <c r="S80" s="7">
        <f>(((S76)+(S77))+(S78))+(S79)</f>
        <v>205.33999999999997</v>
      </c>
      <c r="T80" s="7">
        <f t="shared" ref="T80:T111" si="49">(R80)-(S80)</f>
        <v>-17.279999999999973</v>
      </c>
      <c r="U80" s="8">
        <f t="shared" ref="U80:U111" si="50">IF(S80=0,"",(R80)/(S80))</f>
        <v>0.91584688808804926</v>
      </c>
      <c r="V80" s="7">
        <f t="shared" ref="V80:V111" si="51">((((B80)+(F80))+(J80))+(N80))+(R80)</f>
        <v>850.25</v>
      </c>
      <c r="W80" s="7">
        <f t="shared" ref="W80:W111" si="52">((((C80)+(G80))+(K80))+(O80))+(S80)</f>
        <v>1026.6999999999998</v>
      </c>
      <c r="X80" s="7">
        <f t="shared" ref="X80:X111" si="53">(V80)-(W80)</f>
        <v>-176.44999999999982</v>
      </c>
      <c r="Y80" s="8">
        <f t="shared" ref="Y80:Y111" si="54">IF(W80=0,"",(V80)/(W80))</f>
        <v>0.82813869679555874</v>
      </c>
    </row>
    <row r="81" spans="1:25" x14ac:dyDescent="0.3">
      <c r="A81" s="3" t="s">
        <v>84</v>
      </c>
      <c r="B81" s="4"/>
      <c r="C81" s="4"/>
      <c r="D81" s="5">
        <f t="shared" si="41"/>
        <v>0</v>
      </c>
      <c r="E81" s="6" t="str">
        <f t="shared" si="42"/>
        <v/>
      </c>
      <c r="F81" s="4"/>
      <c r="G81" s="4"/>
      <c r="H81" s="5">
        <f t="shared" si="43"/>
        <v>0</v>
      </c>
      <c r="I81" s="6" t="str">
        <f t="shared" si="44"/>
        <v/>
      </c>
      <c r="J81" s="4"/>
      <c r="K81" s="4"/>
      <c r="L81" s="5">
        <f t="shared" si="45"/>
        <v>0</v>
      </c>
      <c r="M81" s="6" t="str">
        <f t="shared" si="46"/>
        <v/>
      </c>
      <c r="N81" s="4"/>
      <c r="O81" s="4"/>
      <c r="P81" s="5">
        <f t="shared" si="47"/>
        <v>0</v>
      </c>
      <c r="Q81" s="6" t="str">
        <f t="shared" si="48"/>
        <v/>
      </c>
      <c r="R81" s="4"/>
      <c r="S81" s="4"/>
      <c r="T81" s="5">
        <f t="shared" si="49"/>
        <v>0</v>
      </c>
      <c r="U81" s="6" t="str">
        <f t="shared" si="50"/>
        <v/>
      </c>
      <c r="V81" s="5">
        <f t="shared" si="51"/>
        <v>0</v>
      </c>
      <c r="W81" s="5">
        <f t="shared" si="52"/>
        <v>0</v>
      </c>
      <c r="X81" s="5">
        <f t="shared" si="53"/>
        <v>0</v>
      </c>
      <c r="Y81" s="6" t="str">
        <f t="shared" si="54"/>
        <v/>
      </c>
    </row>
    <row r="82" spans="1:25" x14ac:dyDescent="0.3">
      <c r="A82" s="3" t="s">
        <v>85</v>
      </c>
      <c r="B82" s="5">
        <f>0</f>
        <v>0</v>
      </c>
      <c r="C82" s="5">
        <f>41.92</f>
        <v>41.92</v>
      </c>
      <c r="D82" s="5">
        <f t="shared" si="41"/>
        <v>-41.92</v>
      </c>
      <c r="E82" s="6">
        <f t="shared" si="42"/>
        <v>0</v>
      </c>
      <c r="F82" s="4"/>
      <c r="G82" s="5">
        <f>41.92</f>
        <v>41.92</v>
      </c>
      <c r="H82" s="5">
        <f t="shared" si="43"/>
        <v>-41.92</v>
      </c>
      <c r="I82" s="6">
        <f t="shared" si="44"/>
        <v>0</v>
      </c>
      <c r="J82" s="4"/>
      <c r="K82" s="5">
        <f>41.92</f>
        <v>41.92</v>
      </c>
      <c r="L82" s="5">
        <f t="shared" si="45"/>
        <v>-41.92</v>
      </c>
      <c r="M82" s="6">
        <f t="shared" si="46"/>
        <v>0</v>
      </c>
      <c r="N82" s="4"/>
      <c r="O82" s="5">
        <f>41.92</f>
        <v>41.92</v>
      </c>
      <c r="P82" s="5">
        <f t="shared" si="47"/>
        <v>-41.92</v>
      </c>
      <c r="Q82" s="6">
        <f t="shared" si="48"/>
        <v>0</v>
      </c>
      <c r="R82" s="4"/>
      <c r="S82" s="5">
        <f>41.92</f>
        <v>41.92</v>
      </c>
      <c r="T82" s="5">
        <f t="shared" si="49"/>
        <v>-41.92</v>
      </c>
      <c r="U82" s="6">
        <f t="shared" si="50"/>
        <v>0</v>
      </c>
      <c r="V82" s="5">
        <f t="shared" si="51"/>
        <v>0</v>
      </c>
      <c r="W82" s="5">
        <f t="shared" si="52"/>
        <v>209.60000000000002</v>
      </c>
      <c r="X82" s="5">
        <f t="shared" si="53"/>
        <v>-209.60000000000002</v>
      </c>
      <c r="Y82" s="6">
        <f t="shared" si="54"/>
        <v>0</v>
      </c>
    </row>
    <row r="83" spans="1:25" x14ac:dyDescent="0.3">
      <c r="A83" s="3" t="s">
        <v>86</v>
      </c>
      <c r="B83" s="5">
        <f>0</f>
        <v>0</v>
      </c>
      <c r="C83" s="5">
        <f>22.5</f>
        <v>22.5</v>
      </c>
      <c r="D83" s="5">
        <f t="shared" si="41"/>
        <v>-22.5</v>
      </c>
      <c r="E83" s="6">
        <f t="shared" si="42"/>
        <v>0</v>
      </c>
      <c r="F83" s="4"/>
      <c r="G83" s="5">
        <f>22.5</f>
        <v>22.5</v>
      </c>
      <c r="H83" s="5">
        <f t="shared" si="43"/>
        <v>-22.5</v>
      </c>
      <c r="I83" s="6">
        <f t="shared" si="44"/>
        <v>0</v>
      </c>
      <c r="J83" s="4"/>
      <c r="K83" s="5">
        <f>22.5</f>
        <v>22.5</v>
      </c>
      <c r="L83" s="5">
        <f t="shared" si="45"/>
        <v>-22.5</v>
      </c>
      <c r="M83" s="6">
        <f t="shared" si="46"/>
        <v>0</v>
      </c>
      <c r="N83" s="4"/>
      <c r="O83" s="5">
        <f>22.5</f>
        <v>22.5</v>
      </c>
      <c r="P83" s="5">
        <f t="shared" si="47"/>
        <v>-22.5</v>
      </c>
      <c r="Q83" s="6">
        <f t="shared" si="48"/>
        <v>0</v>
      </c>
      <c r="R83" s="4"/>
      <c r="S83" s="5">
        <f>22.5</f>
        <v>22.5</v>
      </c>
      <c r="T83" s="5">
        <f t="shared" si="49"/>
        <v>-22.5</v>
      </c>
      <c r="U83" s="6">
        <f t="shared" si="50"/>
        <v>0</v>
      </c>
      <c r="V83" s="5">
        <f t="shared" si="51"/>
        <v>0</v>
      </c>
      <c r="W83" s="5">
        <f t="shared" si="52"/>
        <v>112.5</v>
      </c>
      <c r="X83" s="5">
        <f t="shared" si="53"/>
        <v>-112.5</v>
      </c>
      <c r="Y83" s="6">
        <f t="shared" si="54"/>
        <v>0</v>
      </c>
    </row>
    <row r="84" spans="1:25" x14ac:dyDescent="0.3">
      <c r="A84" s="3" t="s">
        <v>87</v>
      </c>
      <c r="B84" s="5">
        <f>0</f>
        <v>0</v>
      </c>
      <c r="C84" s="4"/>
      <c r="D84" s="5">
        <f t="shared" si="41"/>
        <v>0</v>
      </c>
      <c r="E84" s="6" t="str">
        <f t="shared" si="42"/>
        <v/>
      </c>
      <c r="F84" s="4"/>
      <c r="G84" s="4"/>
      <c r="H84" s="5">
        <f t="shared" si="43"/>
        <v>0</v>
      </c>
      <c r="I84" s="6" t="str">
        <f t="shared" si="44"/>
        <v/>
      </c>
      <c r="J84" s="4"/>
      <c r="K84" s="4"/>
      <c r="L84" s="5">
        <f t="shared" si="45"/>
        <v>0</v>
      </c>
      <c r="M84" s="6" t="str">
        <f t="shared" si="46"/>
        <v/>
      </c>
      <c r="N84" s="4"/>
      <c r="O84" s="4"/>
      <c r="P84" s="5">
        <f t="shared" si="47"/>
        <v>0</v>
      </c>
      <c r="Q84" s="6" t="str">
        <f t="shared" si="48"/>
        <v/>
      </c>
      <c r="R84" s="4"/>
      <c r="S84" s="4"/>
      <c r="T84" s="5">
        <f t="shared" si="49"/>
        <v>0</v>
      </c>
      <c r="U84" s="6" t="str">
        <f t="shared" si="50"/>
        <v/>
      </c>
      <c r="V84" s="5">
        <f t="shared" si="51"/>
        <v>0</v>
      </c>
      <c r="W84" s="5">
        <f t="shared" si="52"/>
        <v>0</v>
      </c>
      <c r="X84" s="5">
        <f t="shared" si="53"/>
        <v>0</v>
      </c>
      <c r="Y84" s="6" t="str">
        <f t="shared" si="54"/>
        <v/>
      </c>
    </row>
    <row r="85" spans="1:25" x14ac:dyDescent="0.3">
      <c r="A85" s="3" t="s">
        <v>88</v>
      </c>
      <c r="B85" s="7">
        <f>(((B81)+(B82))+(B83))+(B84)</f>
        <v>0</v>
      </c>
      <c r="C85" s="7">
        <f>(((C81)+(C82))+(C83))+(C84)</f>
        <v>64.42</v>
      </c>
      <c r="D85" s="7">
        <f t="shared" si="41"/>
        <v>-64.42</v>
      </c>
      <c r="E85" s="8">
        <f t="shared" si="42"/>
        <v>0</v>
      </c>
      <c r="F85" s="7">
        <f>(((F81)+(F82))+(F83))+(F84)</f>
        <v>0</v>
      </c>
      <c r="G85" s="7">
        <f>(((G81)+(G82))+(G83))+(G84)</f>
        <v>64.42</v>
      </c>
      <c r="H85" s="7">
        <f t="shared" si="43"/>
        <v>-64.42</v>
      </c>
      <c r="I85" s="8">
        <f t="shared" si="44"/>
        <v>0</v>
      </c>
      <c r="J85" s="7">
        <f>(((J81)+(J82))+(J83))+(J84)</f>
        <v>0</v>
      </c>
      <c r="K85" s="7">
        <f>(((K81)+(K82))+(K83))+(K84)</f>
        <v>64.42</v>
      </c>
      <c r="L85" s="7">
        <f t="shared" si="45"/>
        <v>-64.42</v>
      </c>
      <c r="M85" s="8">
        <f t="shared" si="46"/>
        <v>0</v>
      </c>
      <c r="N85" s="7">
        <f>(((N81)+(N82))+(N83))+(N84)</f>
        <v>0</v>
      </c>
      <c r="O85" s="7">
        <f>(((O81)+(O82))+(O83))+(O84)</f>
        <v>64.42</v>
      </c>
      <c r="P85" s="7">
        <f t="shared" si="47"/>
        <v>-64.42</v>
      </c>
      <c r="Q85" s="8">
        <f t="shared" si="48"/>
        <v>0</v>
      </c>
      <c r="R85" s="7">
        <f>(((R81)+(R82))+(R83))+(R84)</f>
        <v>0</v>
      </c>
      <c r="S85" s="7">
        <f>(((S81)+(S82))+(S83))+(S84)</f>
        <v>64.42</v>
      </c>
      <c r="T85" s="7">
        <f t="shared" si="49"/>
        <v>-64.42</v>
      </c>
      <c r="U85" s="8">
        <f t="shared" si="50"/>
        <v>0</v>
      </c>
      <c r="V85" s="7">
        <f t="shared" si="51"/>
        <v>0</v>
      </c>
      <c r="W85" s="7">
        <f t="shared" si="52"/>
        <v>322.10000000000002</v>
      </c>
      <c r="X85" s="7">
        <f t="shared" si="53"/>
        <v>-322.10000000000002</v>
      </c>
      <c r="Y85" s="8">
        <f t="shared" si="54"/>
        <v>0</v>
      </c>
    </row>
    <row r="86" spans="1:25" x14ac:dyDescent="0.3">
      <c r="A86" s="3" t="s">
        <v>89</v>
      </c>
      <c r="B86" s="4"/>
      <c r="C86" s="4"/>
      <c r="D86" s="5">
        <f t="shared" si="41"/>
        <v>0</v>
      </c>
      <c r="E86" s="6" t="str">
        <f t="shared" si="42"/>
        <v/>
      </c>
      <c r="F86" s="4"/>
      <c r="G86" s="4"/>
      <c r="H86" s="5">
        <f t="shared" si="43"/>
        <v>0</v>
      </c>
      <c r="I86" s="6" t="str">
        <f t="shared" si="44"/>
        <v/>
      </c>
      <c r="J86" s="4"/>
      <c r="K86" s="4"/>
      <c r="L86" s="5">
        <f t="shared" si="45"/>
        <v>0</v>
      </c>
      <c r="M86" s="6" t="str">
        <f t="shared" si="46"/>
        <v/>
      </c>
      <c r="N86" s="4"/>
      <c r="O86" s="4"/>
      <c r="P86" s="5">
        <f t="shared" si="47"/>
        <v>0</v>
      </c>
      <c r="Q86" s="6" t="str">
        <f t="shared" si="48"/>
        <v/>
      </c>
      <c r="R86" s="4"/>
      <c r="S86" s="4"/>
      <c r="T86" s="5">
        <f t="shared" si="49"/>
        <v>0</v>
      </c>
      <c r="U86" s="6" t="str">
        <f t="shared" si="50"/>
        <v/>
      </c>
      <c r="V86" s="5">
        <f t="shared" si="51"/>
        <v>0</v>
      </c>
      <c r="W86" s="5">
        <f t="shared" si="52"/>
        <v>0</v>
      </c>
      <c r="X86" s="5">
        <f t="shared" si="53"/>
        <v>0</v>
      </c>
      <c r="Y86" s="6" t="str">
        <f t="shared" si="54"/>
        <v/>
      </c>
    </row>
    <row r="87" spans="1:25" x14ac:dyDescent="0.3">
      <c r="A87" s="3" t="s">
        <v>90</v>
      </c>
      <c r="B87" s="5">
        <f>0</f>
        <v>0</v>
      </c>
      <c r="C87" s="5">
        <f>325</f>
        <v>325</v>
      </c>
      <c r="D87" s="5">
        <f t="shared" si="41"/>
        <v>-325</v>
      </c>
      <c r="E87" s="6">
        <f t="shared" si="42"/>
        <v>0</v>
      </c>
      <c r="F87" s="4"/>
      <c r="G87" s="5">
        <f>325</f>
        <v>325</v>
      </c>
      <c r="H87" s="5">
        <f t="shared" si="43"/>
        <v>-325</v>
      </c>
      <c r="I87" s="6">
        <f t="shared" si="44"/>
        <v>0</v>
      </c>
      <c r="J87" s="4"/>
      <c r="K87" s="5">
        <f>325</f>
        <v>325</v>
      </c>
      <c r="L87" s="5">
        <f t="shared" si="45"/>
        <v>-325</v>
      </c>
      <c r="M87" s="6">
        <f t="shared" si="46"/>
        <v>0</v>
      </c>
      <c r="N87" s="4"/>
      <c r="O87" s="5">
        <f>325</f>
        <v>325</v>
      </c>
      <c r="P87" s="5">
        <f t="shared" si="47"/>
        <v>-325</v>
      </c>
      <c r="Q87" s="6">
        <f t="shared" si="48"/>
        <v>0</v>
      </c>
      <c r="R87" s="4"/>
      <c r="S87" s="5">
        <f>325</f>
        <v>325</v>
      </c>
      <c r="T87" s="5">
        <f t="shared" si="49"/>
        <v>-325</v>
      </c>
      <c r="U87" s="6">
        <f t="shared" si="50"/>
        <v>0</v>
      </c>
      <c r="V87" s="5">
        <f t="shared" si="51"/>
        <v>0</v>
      </c>
      <c r="W87" s="5">
        <f t="shared" si="52"/>
        <v>1625</v>
      </c>
      <c r="X87" s="5">
        <f t="shared" si="53"/>
        <v>-1625</v>
      </c>
      <c r="Y87" s="6">
        <f t="shared" si="54"/>
        <v>0</v>
      </c>
    </row>
    <row r="88" spans="1:25" x14ac:dyDescent="0.3">
      <c r="A88" s="3" t="s">
        <v>91</v>
      </c>
      <c r="B88" s="5">
        <f>0</f>
        <v>0</v>
      </c>
      <c r="C88" s="5">
        <f>175</f>
        <v>175</v>
      </c>
      <c r="D88" s="5">
        <f t="shared" si="41"/>
        <v>-175</v>
      </c>
      <c r="E88" s="6">
        <f t="shared" si="42"/>
        <v>0</v>
      </c>
      <c r="F88" s="4"/>
      <c r="G88" s="5">
        <f>175</f>
        <v>175</v>
      </c>
      <c r="H88" s="5">
        <f t="shared" si="43"/>
        <v>-175</v>
      </c>
      <c r="I88" s="6">
        <f t="shared" si="44"/>
        <v>0</v>
      </c>
      <c r="J88" s="4"/>
      <c r="K88" s="5">
        <f>175</f>
        <v>175</v>
      </c>
      <c r="L88" s="5">
        <f t="shared" si="45"/>
        <v>-175</v>
      </c>
      <c r="M88" s="6">
        <f t="shared" si="46"/>
        <v>0</v>
      </c>
      <c r="N88" s="4"/>
      <c r="O88" s="5">
        <f>175</f>
        <v>175</v>
      </c>
      <c r="P88" s="5">
        <f t="shared" si="47"/>
        <v>-175</v>
      </c>
      <c r="Q88" s="6">
        <f t="shared" si="48"/>
        <v>0</v>
      </c>
      <c r="R88" s="4"/>
      <c r="S88" s="5">
        <f>175</f>
        <v>175</v>
      </c>
      <c r="T88" s="5">
        <f t="shared" si="49"/>
        <v>-175</v>
      </c>
      <c r="U88" s="6">
        <f t="shared" si="50"/>
        <v>0</v>
      </c>
      <c r="V88" s="5">
        <f t="shared" si="51"/>
        <v>0</v>
      </c>
      <c r="W88" s="5">
        <f t="shared" si="52"/>
        <v>875</v>
      </c>
      <c r="X88" s="5">
        <f t="shared" si="53"/>
        <v>-875</v>
      </c>
      <c r="Y88" s="6">
        <f t="shared" si="54"/>
        <v>0</v>
      </c>
    </row>
    <row r="89" spans="1:25" x14ac:dyDescent="0.3">
      <c r="A89" s="3" t="s">
        <v>92</v>
      </c>
      <c r="B89" s="5">
        <f>0</f>
        <v>0</v>
      </c>
      <c r="C89" s="4"/>
      <c r="D89" s="5">
        <f t="shared" si="41"/>
        <v>0</v>
      </c>
      <c r="E89" s="6" t="str">
        <f t="shared" si="42"/>
        <v/>
      </c>
      <c r="F89" s="4"/>
      <c r="G89" s="4"/>
      <c r="H89" s="5">
        <f t="shared" si="43"/>
        <v>0</v>
      </c>
      <c r="I89" s="6" t="str">
        <f t="shared" si="44"/>
        <v/>
      </c>
      <c r="J89" s="4"/>
      <c r="K89" s="4"/>
      <c r="L89" s="5">
        <f t="shared" si="45"/>
        <v>0</v>
      </c>
      <c r="M89" s="6" t="str">
        <f t="shared" si="46"/>
        <v/>
      </c>
      <c r="N89" s="4"/>
      <c r="O89" s="4"/>
      <c r="P89" s="5">
        <f t="shared" si="47"/>
        <v>0</v>
      </c>
      <c r="Q89" s="6" t="str">
        <f t="shared" si="48"/>
        <v/>
      </c>
      <c r="R89" s="4"/>
      <c r="S89" s="4"/>
      <c r="T89" s="5">
        <f t="shared" si="49"/>
        <v>0</v>
      </c>
      <c r="U89" s="6" t="str">
        <f t="shared" si="50"/>
        <v/>
      </c>
      <c r="V89" s="5">
        <f t="shared" si="51"/>
        <v>0</v>
      </c>
      <c r="W89" s="5">
        <f t="shared" si="52"/>
        <v>0</v>
      </c>
      <c r="X89" s="5">
        <f t="shared" si="53"/>
        <v>0</v>
      </c>
      <c r="Y89" s="6" t="str">
        <f t="shared" si="54"/>
        <v/>
      </c>
    </row>
    <row r="90" spans="1:25" x14ac:dyDescent="0.3">
      <c r="A90" s="3" t="s">
        <v>93</v>
      </c>
      <c r="B90" s="7">
        <f>(((B86)+(B87))+(B88))+(B89)</f>
        <v>0</v>
      </c>
      <c r="C90" s="7">
        <f>(((C86)+(C87))+(C88))+(C89)</f>
        <v>500</v>
      </c>
      <c r="D90" s="7">
        <f t="shared" si="41"/>
        <v>-500</v>
      </c>
      <c r="E90" s="8">
        <f t="shared" si="42"/>
        <v>0</v>
      </c>
      <c r="F90" s="7">
        <f>(((F86)+(F87))+(F88))+(F89)</f>
        <v>0</v>
      </c>
      <c r="G90" s="7">
        <f>(((G86)+(G87))+(G88))+(G89)</f>
        <v>500</v>
      </c>
      <c r="H90" s="7">
        <f t="shared" si="43"/>
        <v>-500</v>
      </c>
      <c r="I90" s="8">
        <f t="shared" si="44"/>
        <v>0</v>
      </c>
      <c r="J90" s="7">
        <f>(((J86)+(J87))+(J88))+(J89)</f>
        <v>0</v>
      </c>
      <c r="K90" s="7">
        <f>(((K86)+(K87))+(K88))+(K89)</f>
        <v>500</v>
      </c>
      <c r="L90" s="7">
        <f t="shared" si="45"/>
        <v>-500</v>
      </c>
      <c r="M90" s="8">
        <f t="shared" si="46"/>
        <v>0</v>
      </c>
      <c r="N90" s="7">
        <f>(((N86)+(N87))+(N88))+(N89)</f>
        <v>0</v>
      </c>
      <c r="O90" s="7">
        <f>(((O86)+(O87))+(O88))+(O89)</f>
        <v>500</v>
      </c>
      <c r="P90" s="7">
        <f t="shared" si="47"/>
        <v>-500</v>
      </c>
      <c r="Q90" s="8">
        <f t="shared" si="48"/>
        <v>0</v>
      </c>
      <c r="R90" s="7">
        <f>(((R86)+(R87))+(R88))+(R89)</f>
        <v>0</v>
      </c>
      <c r="S90" s="7">
        <f>(((S86)+(S87))+(S88))+(S89)</f>
        <v>500</v>
      </c>
      <c r="T90" s="7">
        <f t="shared" si="49"/>
        <v>-500</v>
      </c>
      <c r="U90" s="8">
        <f t="shared" si="50"/>
        <v>0</v>
      </c>
      <c r="V90" s="7">
        <f t="shared" si="51"/>
        <v>0</v>
      </c>
      <c r="W90" s="7">
        <f t="shared" si="52"/>
        <v>2500</v>
      </c>
      <c r="X90" s="7">
        <f t="shared" si="53"/>
        <v>-2500</v>
      </c>
      <c r="Y90" s="8">
        <f t="shared" si="54"/>
        <v>0</v>
      </c>
    </row>
    <row r="91" spans="1:25" x14ac:dyDescent="0.3">
      <c r="A91" s="3" t="s">
        <v>94</v>
      </c>
      <c r="B91" s="4"/>
      <c r="C91" s="4"/>
      <c r="D91" s="5">
        <f t="shared" si="41"/>
        <v>0</v>
      </c>
      <c r="E91" s="6" t="str">
        <f t="shared" si="42"/>
        <v/>
      </c>
      <c r="F91" s="4"/>
      <c r="G91" s="4"/>
      <c r="H91" s="5">
        <f t="shared" si="43"/>
        <v>0</v>
      </c>
      <c r="I91" s="6" t="str">
        <f t="shared" si="44"/>
        <v/>
      </c>
      <c r="J91" s="4"/>
      <c r="K91" s="4"/>
      <c r="L91" s="5">
        <f t="shared" si="45"/>
        <v>0</v>
      </c>
      <c r="M91" s="6" t="str">
        <f t="shared" si="46"/>
        <v/>
      </c>
      <c r="N91" s="4"/>
      <c r="O91" s="4"/>
      <c r="P91" s="5">
        <f t="shared" si="47"/>
        <v>0</v>
      </c>
      <c r="Q91" s="6" t="str">
        <f t="shared" si="48"/>
        <v/>
      </c>
      <c r="R91" s="4"/>
      <c r="S91" s="4"/>
      <c r="T91" s="5">
        <f t="shared" si="49"/>
        <v>0</v>
      </c>
      <c r="U91" s="6" t="str">
        <f t="shared" si="50"/>
        <v/>
      </c>
      <c r="V91" s="5">
        <f t="shared" si="51"/>
        <v>0</v>
      </c>
      <c r="W91" s="5">
        <f t="shared" si="52"/>
        <v>0</v>
      </c>
      <c r="X91" s="5">
        <f t="shared" si="53"/>
        <v>0</v>
      </c>
      <c r="Y91" s="6" t="str">
        <f t="shared" si="54"/>
        <v/>
      </c>
    </row>
    <row r="92" spans="1:25" x14ac:dyDescent="0.3">
      <c r="A92" s="3" t="s">
        <v>95</v>
      </c>
      <c r="B92" s="4"/>
      <c r="C92" s="5">
        <f>222.08</f>
        <v>222.08</v>
      </c>
      <c r="D92" s="5">
        <f t="shared" si="41"/>
        <v>-222.08</v>
      </c>
      <c r="E92" s="6">
        <f t="shared" si="42"/>
        <v>0</v>
      </c>
      <c r="F92" s="5">
        <f>464.7</f>
        <v>464.7</v>
      </c>
      <c r="G92" s="5">
        <f>222.08</f>
        <v>222.08</v>
      </c>
      <c r="H92" s="5">
        <f t="shared" si="43"/>
        <v>242.61999999999998</v>
      </c>
      <c r="I92" s="6">
        <f t="shared" si="44"/>
        <v>2.0924891930835732</v>
      </c>
      <c r="J92" s="4"/>
      <c r="K92" s="5">
        <f>222.08</f>
        <v>222.08</v>
      </c>
      <c r="L92" s="5">
        <f t="shared" si="45"/>
        <v>-222.08</v>
      </c>
      <c r="M92" s="6">
        <f t="shared" si="46"/>
        <v>0</v>
      </c>
      <c r="N92" s="4"/>
      <c r="O92" s="5">
        <f>222.08</f>
        <v>222.08</v>
      </c>
      <c r="P92" s="5">
        <f t="shared" si="47"/>
        <v>-222.08</v>
      </c>
      <c r="Q92" s="6">
        <f t="shared" si="48"/>
        <v>0</v>
      </c>
      <c r="R92" s="4"/>
      <c r="S92" s="5">
        <f>222.08</f>
        <v>222.08</v>
      </c>
      <c r="T92" s="5">
        <f t="shared" si="49"/>
        <v>-222.08</v>
      </c>
      <c r="U92" s="6">
        <f t="shared" si="50"/>
        <v>0</v>
      </c>
      <c r="V92" s="5">
        <f t="shared" si="51"/>
        <v>464.7</v>
      </c>
      <c r="W92" s="5">
        <f t="shared" si="52"/>
        <v>1110.4000000000001</v>
      </c>
      <c r="X92" s="5">
        <f t="shared" si="53"/>
        <v>-645.70000000000005</v>
      </c>
      <c r="Y92" s="6">
        <f t="shared" si="54"/>
        <v>0.41849783861671463</v>
      </c>
    </row>
    <row r="93" spans="1:25" x14ac:dyDescent="0.3">
      <c r="A93" s="3" t="s">
        <v>96</v>
      </c>
      <c r="B93" s="4"/>
      <c r="C93" s="5">
        <f>119.58</f>
        <v>119.58</v>
      </c>
      <c r="D93" s="5">
        <f t="shared" si="41"/>
        <v>-119.58</v>
      </c>
      <c r="E93" s="6">
        <f t="shared" si="42"/>
        <v>0</v>
      </c>
      <c r="F93" s="5">
        <f>250.22</f>
        <v>250.22</v>
      </c>
      <c r="G93" s="5">
        <f>119.58</f>
        <v>119.58</v>
      </c>
      <c r="H93" s="5">
        <f t="shared" si="43"/>
        <v>130.63999999999999</v>
      </c>
      <c r="I93" s="6">
        <f t="shared" si="44"/>
        <v>2.0924903830071919</v>
      </c>
      <c r="J93" s="4"/>
      <c r="K93" s="5">
        <f>119.58</f>
        <v>119.58</v>
      </c>
      <c r="L93" s="5">
        <f t="shared" si="45"/>
        <v>-119.58</v>
      </c>
      <c r="M93" s="6">
        <f t="shared" si="46"/>
        <v>0</v>
      </c>
      <c r="N93" s="4"/>
      <c r="O93" s="5">
        <f>119.58</f>
        <v>119.58</v>
      </c>
      <c r="P93" s="5">
        <f t="shared" si="47"/>
        <v>-119.58</v>
      </c>
      <c r="Q93" s="6">
        <f t="shared" si="48"/>
        <v>0</v>
      </c>
      <c r="R93" s="4"/>
      <c r="S93" s="5">
        <f>119.58</f>
        <v>119.58</v>
      </c>
      <c r="T93" s="5">
        <f t="shared" si="49"/>
        <v>-119.58</v>
      </c>
      <c r="U93" s="6">
        <f t="shared" si="50"/>
        <v>0</v>
      </c>
      <c r="V93" s="5">
        <f t="shared" si="51"/>
        <v>250.22</v>
      </c>
      <c r="W93" s="5">
        <f t="shared" si="52"/>
        <v>597.9</v>
      </c>
      <c r="X93" s="5">
        <f t="shared" si="53"/>
        <v>-347.67999999999995</v>
      </c>
      <c r="Y93" s="6">
        <f t="shared" si="54"/>
        <v>0.4184980766014384</v>
      </c>
    </row>
    <row r="94" spans="1:25" x14ac:dyDescent="0.3">
      <c r="A94" s="3" t="s">
        <v>97</v>
      </c>
      <c r="B94" s="4"/>
      <c r="C94" s="4"/>
      <c r="D94" s="5">
        <f t="shared" si="41"/>
        <v>0</v>
      </c>
      <c r="E94" s="6" t="str">
        <f t="shared" si="42"/>
        <v/>
      </c>
      <c r="F94" s="5">
        <f>0</f>
        <v>0</v>
      </c>
      <c r="G94" s="4"/>
      <c r="H94" s="5">
        <f t="shared" si="43"/>
        <v>0</v>
      </c>
      <c r="I94" s="6" t="str">
        <f t="shared" si="44"/>
        <v/>
      </c>
      <c r="J94" s="4"/>
      <c r="K94" s="4"/>
      <c r="L94" s="5">
        <f t="shared" si="45"/>
        <v>0</v>
      </c>
      <c r="M94" s="6" t="str">
        <f t="shared" si="46"/>
        <v/>
      </c>
      <c r="N94" s="4"/>
      <c r="O94" s="4"/>
      <c r="P94" s="5">
        <f t="shared" si="47"/>
        <v>0</v>
      </c>
      <c r="Q94" s="6" t="str">
        <f t="shared" si="48"/>
        <v/>
      </c>
      <c r="R94" s="4"/>
      <c r="S94" s="4"/>
      <c r="T94" s="5">
        <f t="shared" si="49"/>
        <v>0</v>
      </c>
      <c r="U94" s="6" t="str">
        <f t="shared" si="50"/>
        <v/>
      </c>
      <c r="V94" s="5">
        <f t="shared" si="51"/>
        <v>0</v>
      </c>
      <c r="W94" s="5">
        <f t="shared" si="52"/>
        <v>0</v>
      </c>
      <c r="X94" s="5">
        <f t="shared" si="53"/>
        <v>0</v>
      </c>
      <c r="Y94" s="6" t="str">
        <f t="shared" si="54"/>
        <v/>
      </c>
    </row>
    <row r="95" spans="1:25" x14ac:dyDescent="0.3">
      <c r="A95" s="3" t="s">
        <v>98</v>
      </c>
      <c r="B95" s="7">
        <f>(((B91)+(B92))+(B93))+(B94)</f>
        <v>0</v>
      </c>
      <c r="C95" s="7">
        <f>(((C91)+(C92))+(C93))+(C94)</f>
        <v>341.66</v>
      </c>
      <c r="D95" s="7">
        <f t="shared" si="41"/>
        <v>-341.66</v>
      </c>
      <c r="E95" s="8">
        <f t="shared" si="42"/>
        <v>0</v>
      </c>
      <c r="F95" s="7">
        <f>(((F91)+(F92))+(F93))+(F94)</f>
        <v>714.92</v>
      </c>
      <c r="G95" s="7">
        <f>(((G91)+(G92))+(G93))+(G94)</f>
        <v>341.66</v>
      </c>
      <c r="H95" s="7">
        <f t="shared" si="43"/>
        <v>373.25999999999993</v>
      </c>
      <c r="I95" s="8">
        <f t="shared" si="44"/>
        <v>2.0924896095533567</v>
      </c>
      <c r="J95" s="7">
        <f>(((J91)+(J92))+(J93))+(J94)</f>
        <v>0</v>
      </c>
      <c r="K95" s="7">
        <f>(((K91)+(K92))+(K93))+(K94)</f>
        <v>341.66</v>
      </c>
      <c r="L95" s="7">
        <f t="shared" si="45"/>
        <v>-341.66</v>
      </c>
      <c r="M95" s="8">
        <f t="shared" si="46"/>
        <v>0</v>
      </c>
      <c r="N95" s="7">
        <f>(((N91)+(N92))+(N93))+(N94)</f>
        <v>0</v>
      </c>
      <c r="O95" s="7">
        <f>(((O91)+(O92))+(O93))+(O94)</f>
        <v>341.66</v>
      </c>
      <c r="P95" s="7">
        <f t="shared" si="47"/>
        <v>-341.66</v>
      </c>
      <c r="Q95" s="8">
        <f t="shared" si="48"/>
        <v>0</v>
      </c>
      <c r="R95" s="7">
        <f>(((R91)+(R92))+(R93))+(R94)</f>
        <v>0</v>
      </c>
      <c r="S95" s="7">
        <f>(((S91)+(S92))+(S93))+(S94)</f>
        <v>341.66</v>
      </c>
      <c r="T95" s="7">
        <f t="shared" si="49"/>
        <v>-341.66</v>
      </c>
      <c r="U95" s="8">
        <f t="shared" si="50"/>
        <v>0</v>
      </c>
      <c r="V95" s="7">
        <f t="shared" si="51"/>
        <v>714.92</v>
      </c>
      <c r="W95" s="7">
        <f t="shared" si="52"/>
        <v>1708.3000000000002</v>
      </c>
      <c r="X95" s="7">
        <f t="shared" si="53"/>
        <v>-993.38000000000022</v>
      </c>
      <c r="Y95" s="8">
        <f t="shared" si="54"/>
        <v>0.41849792191067137</v>
      </c>
    </row>
    <row r="96" spans="1:25" x14ac:dyDescent="0.3">
      <c r="A96" s="3" t="s">
        <v>99</v>
      </c>
      <c r="B96" s="4"/>
      <c r="C96" s="4"/>
      <c r="D96" s="5">
        <f t="shared" si="41"/>
        <v>0</v>
      </c>
      <c r="E96" s="6" t="str">
        <f t="shared" si="42"/>
        <v/>
      </c>
      <c r="F96" s="4"/>
      <c r="G96" s="4"/>
      <c r="H96" s="5">
        <f t="shared" si="43"/>
        <v>0</v>
      </c>
      <c r="I96" s="6" t="str">
        <f t="shared" si="44"/>
        <v/>
      </c>
      <c r="J96" s="4"/>
      <c r="K96" s="4"/>
      <c r="L96" s="5">
        <f t="shared" si="45"/>
        <v>0</v>
      </c>
      <c r="M96" s="6" t="str">
        <f t="shared" si="46"/>
        <v/>
      </c>
      <c r="N96" s="4"/>
      <c r="O96" s="4"/>
      <c r="P96" s="5">
        <f t="shared" si="47"/>
        <v>0</v>
      </c>
      <c r="Q96" s="6" t="str">
        <f t="shared" si="48"/>
        <v/>
      </c>
      <c r="R96" s="4"/>
      <c r="S96" s="4"/>
      <c r="T96" s="5">
        <f t="shared" si="49"/>
        <v>0</v>
      </c>
      <c r="U96" s="6" t="str">
        <f t="shared" si="50"/>
        <v/>
      </c>
      <c r="V96" s="5">
        <f t="shared" si="51"/>
        <v>0</v>
      </c>
      <c r="W96" s="5">
        <f t="shared" si="52"/>
        <v>0</v>
      </c>
      <c r="X96" s="5">
        <f t="shared" si="53"/>
        <v>0</v>
      </c>
      <c r="Y96" s="6" t="str">
        <f t="shared" si="54"/>
        <v/>
      </c>
    </row>
    <row r="97" spans="1:25" x14ac:dyDescent="0.3">
      <c r="A97" s="3" t="s">
        <v>100</v>
      </c>
      <c r="B97" s="5">
        <f>0</f>
        <v>0</v>
      </c>
      <c r="C97" s="5">
        <f>1083.33</f>
        <v>1083.33</v>
      </c>
      <c r="D97" s="5">
        <f t="shared" si="41"/>
        <v>-1083.33</v>
      </c>
      <c r="E97" s="6">
        <f t="shared" si="42"/>
        <v>0</v>
      </c>
      <c r="F97" s="4"/>
      <c r="G97" s="5">
        <f>1083.33</f>
        <v>1083.33</v>
      </c>
      <c r="H97" s="5">
        <f t="shared" si="43"/>
        <v>-1083.33</v>
      </c>
      <c r="I97" s="6">
        <f t="shared" si="44"/>
        <v>0</v>
      </c>
      <c r="J97" s="5">
        <f>73.23</f>
        <v>73.23</v>
      </c>
      <c r="K97" s="5">
        <f>1083.33</f>
        <v>1083.33</v>
      </c>
      <c r="L97" s="5">
        <f t="shared" si="45"/>
        <v>-1010.0999999999999</v>
      </c>
      <c r="M97" s="6">
        <f t="shared" si="46"/>
        <v>6.7597131068095603E-2</v>
      </c>
      <c r="N97" s="5">
        <f>487.5</f>
        <v>487.5</v>
      </c>
      <c r="O97" s="5">
        <f>1083.33</f>
        <v>1083.33</v>
      </c>
      <c r="P97" s="5">
        <f t="shared" si="47"/>
        <v>-595.82999999999993</v>
      </c>
      <c r="Q97" s="6">
        <f t="shared" si="48"/>
        <v>0.45000138461964501</v>
      </c>
      <c r="R97" s="5">
        <f>61.37</f>
        <v>61.37</v>
      </c>
      <c r="S97" s="5">
        <f>1083.33</f>
        <v>1083.33</v>
      </c>
      <c r="T97" s="5">
        <f t="shared" si="49"/>
        <v>-1021.9599999999999</v>
      </c>
      <c r="U97" s="6">
        <f t="shared" si="50"/>
        <v>5.6649405075092543E-2</v>
      </c>
      <c r="V97" s="5">
        <f t="shared" si="51"/>
        <v>622.1</v>
      </c>
      <c r="W97" s="5">
        <f t="shared" si="52"/>
        <v>5416.65</v>
      </c>
      <c r="X97" s="5">
        <f t="shared" si="53"/>
        <v>-4794.5499999999993</v>
      </c>
      <c r="Y97" s="6">
        <f t="shared" si="54"/>
        <v>0.11484958415256663</v>
      </c>
    </row>
    <row r="98" spans="1:25" x14ac:dyDescent="0.3">
      <c r="A98" s="3" t="s">
        <v>101</v>
      </c>
      <c r="B98" s="5">
        <f>0</f>
        <v>0</v>
      </c>
      <c r="C98" s="5">
        <f>583.33</f>
        <v>583.33000000000004</v>
      </c>
      <c r="D98" s="5">
        <f t="shared" si="41"/>
        <v>-583.33000000000004</v>
      </c>
      <c r="E98" s="6">
        <f t="shared" si="42"/>
        <v>0</v>
      </c>
      <c r="F98" s="4"/>
      <c r="G98" s="5">
        <f>583.33</f>
        <v>583.33000000000004</v>
      </c>
      <c r="H98" s="5">
        <f t="shared" si="43"/>
        <v>-583.33000000000004</v>
      </c>
      <c r="I98" s="6">
        <f t="shared" si="44"/>
        <v>0</v>
      </c>
      <c r="J98" s="5">
        <f>39.43</f>
        <v>39.43</v>
      </c>
      <c r="K98" s="5">
        <f>583.33</f>
        <v>583.33000000000004</v>
      </c>
      <c r="L98" s="5">
        <f t="shared" si="45"/>
        <v>-543.90000000000009</v>
      </c>
      <c r="M98" s="6">
        <f t="shared" si="46"/>
        <v>6.7594671969554113E-2</v>
      </c>
      <c r="N98" s="5">
        <f>262.5</f>
        <v>262.5</v>
      </c>
      <c r="O98" s="5">
        <f>583.33</f>
        <v>583.33000000000004</v>
      </c>
      <c r="P98" s="5">
        <f t="shared" si="47"/>
        <v>-320.83000000000004</v>
      </c>
      <c r="Q98" s="6">
        <f t="shared" si="48"/>
        <v>0.45000257144326533</v>
      </c>
      <c r="R98" s="5">
        <f>33.05</f>
        <v>33.049999999999997</v>
      </c>
      <c r="S98" s="5">
        <f>583.33</f>
        <v>583.33000000000004</v>
      </c>
      <c r="T98" s="5">
        <f t="shared" si="49"/>
        <v>-550.28000000000009</v>
      </c>
      <c r="U98" s="6">
        <f t="shared" si="50"/>
        <v>5.6657466614094931E-2</v>
      </c>
      <c r="V98" s="5">
        <f t="shared" si="51"/>
        <v>334.98</v>
      </c>
      <c r="W98" s="5">
        <f t="shared" si="52"/>
        <v>2916.65</v>
      </c>
      <c r="X98" s="5">
        <f t="shared" si="53"/>
        <v>-2581.67</v>
      </c>
      <c r="Y98" s="6">
        <f t="shared" si="54"/>
        <v>0.11485094200538289</v>
      </c>
    </row>
    <row r="99" spans="1:25" x14ac:dyDescent="0.3">
      <c r="A99" s="3" t="s">
        <v>102</v>
      </c>
      <c r="B99" s="5">
        <f>0</f>
        <v>0</v>
      </c>
      <c r="C99" s="4"/>
      <c r="D99" s="5">
        <f t="shared" si="41"/>
        <v>0</v>
      </c>
      <c r="E99" s="6" t="str">
        <f t="shared" si="42"/>
        <v/>
      </c>
      <c r="F99" s="4"/>
      <c r="G99" s="4"/>
      <c r="H99" s="5">
        <f t="shared" si="43"/>
        <v>0</v>
      </c>
      <c r="I99" s="6" t="str">
        <f t="shared" si="44"/>
        <v/>
      </c>
      <c r="J99" s="5">
        <f>0</f>
        <v>0</v>
      </c>
      <c r="K99" s="4"/>
      <c r="L99" s="5">
        <f t="shared" si="45"/>
        <v>0</v>
      </c>
      <c r="M99" s="6" t="str">
        <f t="shared" si="46"/>
        <v/>
      </c>
      <c r="N99" s="5">
        <f>0</f>
        <v>0</v>
      </c>
      <c r="O99" s="4"/>
      <c r="P99" s="5">
        <f t="shared" si="47"/>
        <v>0</v>
      </c>
      <c r="Q99" s="6" t="str">
        <f t="shared" si="48"/>
        <v/>
      </c>
      <c r="R99" s="5">
        <f>0</f>
        <v>0</v>
      </c>
      <c r="S99" s="4"/>
      <c r="T99" s="5">
        <f t="shared" si="49"/>
        <v>0</v>
      </c>
      <c r="U99" s="6" t="str">
        <f t="shared" si="50"/>
        <v/>
      </c>
      <c r="V99" s="5">
        <f t="shared" si="51"/>
        <v>0</v>
      </c>
      <c r="W99" s="5">
        <f t="shared" si="52"/>
        <v>0</v>
      </c>
      <c r="X99" s="5">
        <f t="shared" si="53"/>
        <v>0</v>
      </c>
      <c r="Y99" s="6" t="str">
        <f t="shared" si="54"/>
        <v/>
      </c>
    </row>
    <row r="100" spans="1:25" x14ac:dyDescent="0.3">
      <c r="A100" s="3" t="s">
        <v>103</v>
      </c>
      <c r="B100" s="7">
        <f>(((B96)+(B97))+(B98))+(B99)</f>
        <v>0</v>
      </c>
      <c r="C100" s="7">
        <f>(((C96)+(C97))+(C98))+(C99)</f>
        <v>1666.6599999999999</v>
      </c>
      <c r="D100" s="7">
        <f t="shared" si="41"/>
        <v>-1666.6599999999999</v>
      </c>
      <c r="E100" s="8">
        <f t="shared" si="42"/>
        <v>0</v>
      </c>
      <c r="F100" s="7">
        <f>(((F96)+(F97))+(F98))+(F99)</f>
        <v>0</v>
      </c>
      <c r="G100" s="7">
        <f>(((G96)+(G97))+(G98))+(G99)</f>
        <v>1666.6599999999999</v>
      </c>
      <c r="H100" s="7">
        <f t="shared" si="43"/>
        <v>-1666.6599999999999</v>
      </c>
      <c r="I100" s="8">
        <f t="shared" si="44"/>
        <v>0</v>
      </c>
      <c r="J100" s="7">
        <f>(((J96)+(J97))+(J98))+(J99)</f>
        <v>112.66</v>
      </c>
      <c r="K100" s="7">
        <f>(((K96)+(K97))+(K98))+(K99)</f>
        <v>1666.6599999999999</v>
      </c>
      <c r="L100" s="7">
        <f t="shared" si="45"/>
        <v>-1553.9999999999998</v>
      </c>
      <c r="M100" s="8">
        <f t="shared" si="46"/>
        <v>6.759627038508155E-2</v>
      </c>
      <c r="N100" s="7">
        <f>(((N96)+(N97))+(N98))+(N99)</f>
        <v>750</v>
      </c>
      <c r="O100" s="7">
        <f>(((O96)+(O97))+(O98))+(O99)</f>
        <v>1666.6599999999999</v>
      </c>
      <c r="P100" s="7">
        <f t="shared" si="47"/>
        <v>-916.65999999999985</v>
      </c>
      <c r="Q100" s="8">
        <f t="shared" si="48"/>
        <v>0.45000180000720008</v>
      </c>
      <c r="R100" s="7">
        <f>(((R96)+(R97))+(R98))+(R99)</f>
        <v>94.419999999999987</v>
      </c>
      <c r="S100" s="7">
        <f>(((S96)+(S97))+(S98))+(S99)</f>
        <v>1666.6599999999999</v>
      </c>
      <c r="T100" s="7">
        <f t="shared" si="49"/>
        <v>-1572.2399999999998</v>
      </c>
      <c r="U100" s="8">
        <f t="shared" si="50"/>
        <v>5.6652226608906432E-2</v>
      </c>
      <c r="V100" s="7">
        <f t="shared" si="51"/>
        <v>957.07999999999993</v>
      </c>
      <c r="W100" s="7">
        <f t="shared" si="52"/>
        <v>8333.2999999999993</v>
      </c>
      <c r="X100" s="7">
        <f t="shared" si="53"/>
        <v>-7376.2199999999993</v>
      </c>
      <c r="Y100" s="8">
        <f t="shared" si="54"/>
        <v>0.1148500594002376</v>
      </c>
    </row>
    <row r="101" spans="1:25" x14ac:dyDescent="0.3">
      <c r="A101" s="3" t="s">
        <v>104</v>
      </c>
      <c r="B101" s="4"/>
      <c r="C101" s="4"/>
      <c r="D101" s="5">
        <f t="shared" si="41"/>
        <v>0</v>
      </c>
      <c r="E101" s="6" t="str">
        <f t="shared" si="42"/>
        <v/>
      </c>
      <c r="F101" s="4"/>
      <c r="G101" s="4"/>
      <c r="H101" s="5">
        <f t="shared" si="43"/>
        <v>0</v>
      </c>
      <c r="I101" s="6" t="str">
        <f t="shared" si="44"/>
        <v/>
      </c>
      <c r="J101" s="4"/>
      <c r="K101" s="4"/>
      <c r="L101" s="5">
        <f t="shared" si="45"/>
        <v>0</v>
      </c>
      <c r="M101" s="6" t="str">
        <f t="shared" si="46"/>
        <v/>
      </c>
      <c r="N101" s="4"/>
      <c r="O101" s="4"/>
      <c r="P101" s="5">
        <f t="shared" si="47"/>
        <v>0</v>
      </c>
      <c r="Q101" s="6" t="str">
        <f t="shared" si="48"/>
        <v/>
      </c>
      <c r="R101" s="4"/>
      <c r="S101" s="4"/>
      <c r="T101" s="5">
        <f t="shared" si="49"/>
        <v>0</v>
      </c>
      <c r="U101" s="6" t="str">
        <f t="shared" si="50"/>
        <v/>
      </c>
      <c r="V101" s="5">
        <f t="shared" si="51"/>
        <v>0</v>
      </c>
      <c r="W101" s="5">
        <f t="shared" si="52"/>
        <v>0</v>
      </c>
      <c r="X101" s="5">
        <f t="shared" si="53"/>
        <v>0</v>
      </c>
      <c r="Y101" s="6" t="str">
        <f t="shared" si="54"/>
        <v/>
      </c>
    </row>
    <row r="102" spans="1:25" x14ac:dyDescent="0.3">
      <c r="A102" s="3" t="s">
        <v>105</v>
      </c>
      <c r="B102" s="4"/>
      <c r="C102" s="5">
        <f>975</f>
        <v>975</v>
      </c>
      <c r="D102" s="5">
        <f t="shared" si="41"/>
        <v>-975</v>
      </c>
      <c r="E102" s="6">
        <f t="shared" si="42"/>
        <v>0</v>
      </c>
      <c r="F102" s="4"/>
      <c r="G102" s="5">
        <f>975</f>
        <v>975</v>
      </c>
      <c r="H102" s="5">
        <f t="shared" si="43"/>
        <v>-975</v>
      </c>
      <c r="I102" s="6">
        <f t="shared" si="44"/>
        <v>0</v>
      </c>
      <c r="J102" s="4"/>
      <c r="K102" s="5">
        <f>975</f>
        <v>975</v>
      </c>
      <c r="L102" s="5">
        <f t="shared" si="45"/>
        <v>-975</v>
      </c>
      <c r="M102" s="6">
        <f t="shared" si="46"/>
        <v>0</v>
      </c>
      <c r="N102" s="5">
        <f>651.63</f>
        <v>651.63</v>
      </c>
      <c r="O102" s="5">
        <f>975</f>
        <v>975</v>
      </c>
      <c r="P102" s="5">
        <f t="shared" si="47"/>
        <v>-323.37</v>
      </c>
      <c r="Q102" s="6">
        <f t="shared" si="48"/>
        <v>0.66833846153846155</v>
      </c>
      <c r="R102" s="5">
        <f>849.88</f>
        <v>849.88</v>
      </c>
      <c r="S102" s="5">
        <f>975</f>
        <v>975</v>
      </c>
      <c r="T102" s="5">
        <f t="shared" si="49"/>
        <v>-125.12</v>
      </c>
      <c r="U102" s="6">
        <f t="shared" si="50"/>
        <v>0.87167179487179491</v>
      </c>
      <c r="V102" s="5">
        <f t="shared" si="51"/>
        <v>1501.51</v>
      </c>
      <c r="W102" s="5">
        <f t="shared" si="52"/>
        <v>4875</v>
      </c>
      <c r="X102" s="5">
        <f t="shared" si="53"/>
        <v>-3373.49</v>
      </c>
      <c r="Y102" s="6">
        <f t="shared" si="54"/>
        <v>0.30800205128205127</v>
      </c>
    </row>
    <row r="103" spans="1:25" x14ac:dyDescent="0.3">
      <c r="A103" s="3" t="s">
        <v>106</v>
      </c>
      <c r="B103" s="4"/>
      <c r="C103" s="5">
        <f>525</f>
        <v>525</v>
      </c>
      <c r="D103" s="5">
        <f t="shared" si="41"/>
        <v>-525</v>
      </c>
      <c r="E103" s="6">
        <f t="shared" si="42"/>
        <v>0</v>
      </c>
      <c r="F103" s="4"/>
      <c r="G103" s="5">
        <f>525</f>
        <v>525</v>
      </c>
      <c r="H103" s="5">
        <f t="shared" si="43"/>
        <v>-525</v>
      </c>
      <c r="I103" s="6">
        <f t="shared" si="44"/>
        <v>0</v>
      </c>
      <c r="J103" s="4"/>
      <c r="K103" s="5">
        <f>525</f>
        <v>525</v>
      </c>
      <c r="L103" s="5">
        <f t="shared" si="45"/>
        <v>-525</v>
      </c>
      <c r="M103" s="6">
        <f t="shared" si="46"/>
        <v>0</v>
      </c>
      <c r="N103" s="5">
        <f>350.87</f>
        <v>350.87</v>
      </c>
      <c r="O103" s="5">
        <f>525</f>
        <v>525</v>
      </c>
      <c r="P103" s="5">
        <f t="shared" si="47"/>
        <v>-174.13</v>
      </c>
      <c r="Q103" s="6">
        <f t="shared" si="48"/>
        <v>0.66832380952380954</v>
      </c>
      <c r="R103" s="5">
        <f>457.63</f>
        <v>457.63</v>
      </c>
      <c r="S103" s="5">
        <f>525</f>
        <v>525</v>
      </c>
      <c r="T103" s="5">
        <f t="shared" si="49"/>
        <v>-67.37</v>
      </c>
      <c r="U103" s="6">
        <f t="shared" si="50"/>
        <v>0.87167619047619049</v>
      </c>
      <c r="V103" s="5">
        <f t="shared" si="51"/>
        <v>808.5</v>
      </c>
      <c r="W103" s="5">
        <f t="shared" si="52"/>
        <v>2625</v>
      </c>
      <c r="X103" s="5">
        <f t="shared" si="53"/>
        <v>-1816.5</v>
      </c>
      <c r="Y103" s="6">
        <f t="shared" si="54"/>
        <v>0.308</v>
      </c>
    </row>
    <row r="104" spans="1:25" x14ac:dyDescent="0.3">
      <c r="A104" s="3" t="s">
        <v>107</v>
      </c>
      <c r="B104" s="4"/>
      <c r="C104" s="4"/>
      <c r="D104" s="5">
        <f t="shared" si="41"/>
        <v>0</v>
      </c>
      <c r="E104" s="6" t="str">
        <f t="shared" si="42"/>
        <v/>
      </c>
      <c r="F104" s="4"/>
      <c r="G104" s="4"/>
      <c r="H104" s="5">
        <f t="shared" si="43"/>
        <v>0</v>
      </c>
      <c r="I104" s="6" t="str">
        <f t="shared" si="44"/>
        <v/>
      </c>
      <c r="J104" s="4"/>
      <c r="K104" s="4"/>
      <c r="L104" s="5">
        <f t="shared" si="45"/>
        <v>0</v>
      </c>
      <c r="M104" s="6" t="str">
        <f t="shared" si="46"/>
        <v/>
      </c>
      <c r="N104" s="5">
        <f>0</f>
        <v>0</v>
      </c>
      <c r="O104" s="4"/>
      <c r="P104" s="5">
        <f t="shared" si="47"/>
        <v>0</v>
      </c>
      <c r="Q104" s="6" t="str">
        <f t="shared" si="48"/>
        <v/>
      </c>
      <c r="R104" s="5">
        <f>0</f>
        <v>0</v>
      </c>
      <c r="S104" s="4"/>
      <c r="T104" s="5">
        <f t="shared" si="49"/>
        <v>0</v>
      </c>
      <c r="U104" s="6" t="str">
        <f t="shared" si="50"/>
        <v/>
      </c>
      <c r="V104" s="5">
        <f t="shared" si="51"/>
        <v>0</v>
      </c>
      <c r="W104" s="5">
        <f t="shared" si="52"/>
        <v>0</v>
      </c>
      <c r="X104" s="5">
        <f t="shared" si="53"/>
        <v>0</v>
      </c>
      <c r="Y104" s="6" t="str">
        <f t="shared" si="54"/>
        <v/>
      </c>
    </row>
    <row r="105" spans="1:25" x14ac:dyDescent="0.3">
      <c r="A105" s="3" t="s">
        <v>108</v>
      </c>
      <c r="B105" s="7">
        <f>(((B101)+(B102))+(B103))+(B104)</f>
        <v>0</v>
      </c>
      <c r="C105" s="7">
        <f>(((C101)+(C102))+(C103))+(C104)</f>
        <v>1500</v>
      </c>
      <c r="D105" s="7">
        <f t="shared" si="41"/>
        <v>-1500</v>
      </c>
      <c r="E105" s="8">
        <f t="shared" si="42"/>
        <v>0</v>
      </c>
      <c r="F105" s="7">
        <f>(((F101)+(F102))+(F103))+(F104)</f>
        <v>0</v>
      </c>
      <c r="G105" s="7">
        <f>(((G101)+(G102))+(G103))+(G104)</f>
        <v>1500</v>
      </c>
      <c r="H105" s="7">
        <f t="shared" si="43"/>
        <v>-1500</v>
      </c>
      <c r="I105" s="8">
        <f t="shared" si="44"/>
        <v>0</v>
      </c>
      <c r="J105" s="7">
        <f>(((J101)+(J102))+(J103))+(J104)</f>
        <v>0</v>
      </c>
      <c r="K105" s="7">
        <f>(((K101)+(K102))+(K103))+(K104)</f>
        <v>1500</v>
      </c>
      <c r="L105" s="7">
        <f t="shared" si="45"/>
        <v>-1500</v>
      </c>
      <c r="M105" s="8">
        <f t="shared" si="46"/>
        <v>0</v>
      </c>
      <c r="N105" s="7">
        <f>(((N101)+(N102))+(N103))+(N104)</f>
        <v>1002.5</v>
      </c>
      <c r="O105" s="7">
        <f>(((O101)+(O102))+(O103))+(O104)</f>
        <v>1500</v>
      </c>
      <c r="P105" s="7">
        <f t="shared" si="47"/>
        <v>-497.5</v>
      </c>
      <c r="Q105" s="8">
        <f t="shared" si="48"/>
        <v>0.66833333333333333</v>
      </c>
      <c r="R105" s="7">
        <f>(((R101)+(R102))+(R103))+(R104)</f>
        <v>1307.51</v>
      </c>
      <c r="S105" s="7">
        <f>(((S101)+(S102))+(S103))+(S104)</f>
        <v>1500</v>
      </c>
      <c r="T105" s="7">
        <f t="shared" si="49"/>
        <v>-192.49</v>
      </c>
      <c r="U105" s="8">
        <f t="shared" si="50"/>
        <v>0.8716733333333333</v>
      </c>
      <c r="V105" s="7">
        <f t="shared" si="51"/>
        <v>2310.0100000000002</v>
      </c>
      <c r="W105" s="7">
        <f t="shared" si="52"/>
        <v>7500</v>
      </c>
      <c r="X105" s="7">
        <f t="shared" si="53"/>
        <v>-5189.99</v>
      </c>
      <c r="Y105" s="8">
        <f t="shared" si="54"/>
        <v>0.30800133333333335</v>
      </c>
    </row>
    <row r="106" spans="1:25" x14ac:dyDescent="0.3">
      <c r="A106" s="3" t="s">
        <v>109</v>
      </c>
      <c r="B106" s="4"/>
      <c r="C106" s="4"/>
      <c r="D106" s="5">
        <f t="shared" si="41"/>
        <v>0</v>
      </c>
      <c r="E106" s="6" t="str">
        <f t="shared" si="42"/>
        <v/>
      </c>
      <c r="F106" s="4"/>
      <c r="G106" s="4"/>
      <c r="H106" s="5">
        <f t="shared" si="43"/>
        <v>0</v>
      </c>
      <c r="I106" s="6" t="str">
        <f t="shared" si="44"/>
        <v/>
      </c>
      <c r="J106" s="4"/>
      <c r="K106" s="4"/>
      <c r="L106" s="5">
        <f t="shared" si="45"/>
        <v>0</v>
      </c>
      <c r="M106" s="6" t="str">
        <f t="shared" si="46"/>
        <v/>
      </c>
      <c r="N106" s="4"/>
      <c r="O106" s="4"/>
      <c r="P106" s="5">
        <f t="shared" si="47"/>
        <v>0</v>
      </c>
      <c r="Q106" s="6" t="str">
        <f t="shared" si="48"/>
        <v/>
      </c>
      <c r="R106" s="4"/>
      <c r="S106" s="4"/>
      <c r="T106" s="5">
        <f t="shared" si="49"/>
        <v>0</v>
      </c>
      <c r="U106" s="6" t="str">
        <f t="shared" si="50"/>
        <v/>
      </c>
      <c r="V106" s="5">
        <f t="shared" si="51"/>
        <v>0</v>
      </c>
      <c r="W106" s="5">
        <f t="shared" si="52"/>
        <v>0</v>
      </c>
      <c r="X106" s="5">
        <f t="shared" si="53"/>
        <v>0</v>
      </c>
      <c r="Y106" s="6" t="str">
        <f t="shared" si="54"/>
        <v/>
      </c>
    </row>
    <row r="107" spans="1:25" x14ac:dyDescent="0.3">
      <c r="A107" s="3" t="s">
        <v>110</v>
      </c>
      <c r="B107" s="5">
        <f>3012.75</f>
        <v>3012.75</v>
      </c>
      <c r="C107" s="5">
        <f>4143.75</f>
        <v>4143.75</v>
      </c>
      <c r="D107" s="5">
        <f t="shared" si="41"/>
        <v>-1131</v>
      </c>
      <c r="E107" s="6">
        <f t="shared" si="42"/>
        <v>0.72705882352941176</v>
      </c>
      <c r="F107" s="5">
        <f>3012.75</f>
        <v>3012.75</v>
      </c>
      <c r="G107" s="5">
        <f>4143.75</f>
        <v>4143.75</v>
      </c>
      <c r="H107" s="5">
        <f t="shared" si="43"/>
        <v>-1131</v>
      </c>
      <c r="I107" s="6">
        <f t="shared" si="44"/>
        <v>0.72705882352941176</v>
      </c>
      <c r="J107" s="5">
        <f>3165.12</f>
        <v>3165.12</v>
      </c>
      <c r="K107" s="5">
        <f>4143.75</f>
        <v>4143.75</v>
      </c>
      <c r="L107" s="5">
        <f t="shared" si="45"/>
        <v>-978.63000000000011</v>
      </c>
      <c r="M107" s="6">
        <f t="shared" si="46"/>
        <v>0.76382986425339361</v>
      </c>
      <c r="N107" s="5">
        <f>3164.88</f>
        <v>3164.88</v>
      </c>
      <c r="O107" s="5">
        <f>4143.75</f>
        <v>4143.75</v>
      </c>
      <c r="P107" s="5">
        <f t="shared" si="47"/>
        <v>-978.86999999999989</v>
      </c>
      <c r="Q107" s="6">
        <f t="shared" si="48"/>
        <v>0.76377194570135754</v>
      </c>
      <c r="R107" s="5">
        <f>3341.83</f>
        <v>3341.83</v>
      </c>
      <c r="S107" s="5">
        <f>4143.75</f>
        <v>4143.75</v>
      </c>
      <c r="T107" s="5">
        <f t="shared" si="49"/>
        <v>-801.92000000000007</v>
      </c>
      <c r="U107" s="6">
        <f t="shared" si="50"/>
        <v>0.80647481146304678</v>
      </c>
      <c r="V107" s="5">
        <f t="shared" si="51"/>
        <v>15697.33</v>
      </c>
      <c r="W107" s="5">
        <f t="shared" si="52"/>
        <v>20718.75</v>
      </c>
      <c r="X107" s="5">
        <f t="shared" si="53"/>
        <v>-5021.42</v>
      </c>
      <c r="Y107" s="6">
        <f t="shared" si="54"/>
        <v>0.75763885369532424</v>
      </c>
    </row>
    <row r="108" spans="1:25" x14ac:dyDescent="0.3">
      <c r="A108" s="3" t="s">
        <v>111</v>
      </c>
      <c r="B108" s="5">
        <f>1622.25</f>
        <v>1622.25</v>
      </c>
      <c r="C108" s="5">
        <f>2231.25</f>
        <v>2231.25</v>
      </c>
      <c r="D108" s="5">
        <f t="shared" si="41"/>
        <v>-609</v>
      </c>
      <c r="E108" s="6">
        <f t="shared" si="42"/>
        <v>0.72705882352941176</v>
      </c>
      <c r="F108" s="5">
        <f>1622.25</f>
        <v>1622.25</v>
      </c>
      <c r="G108" s="5">
        <f>2231.25</f>
        <v>2231.25</v>
      </c>
      <c r="H108" s="5">
        <f t="shared" si="43"/>
        <v>-609</v>
      </c>
      <c r="I108" s="6">
        <f t="shared" si="44"/>
        <v>0.72705882352941176</v>
      </c>
      <c r="J108" s="5">
        <f>1704.3</f>
        <v>1704.3</v>
      </c>
      <c r="K108" s="5">
        <f>2231.25</f>
        <v>2231.25</v>
      </c>
      <c r="L108" s="5">
        <f t="shared" si="45"/>
        <v>-526.95000000000005</v>
      </c>
      <c r="M108" s="6">
        <f t="shared" si="46"/>
        <v>0.76383193277310923</v>
      </c>
      <c r="N108" s="5">
        <f>1704.16</f>
        <v>1704.16</v>
      </c>
      <c r="O108" s="5">
        <f>2231.25</f>
        <v>2231.25</v>
      </c>
      <c r="P108" s="5">
        <f t="shared" si="47"/>
        <v>-527.08999999999992</v>
      </c>
      <c r="Q108" s="6">
        <f t="shared" si="48"/>
        <v>0.76376918767507007</v>
      </c>
      <c r="R108" s="5">
        <f>1799.44</f>
        <v>1799.44</v>
      </c>
      <c r="S108" s="5">
        <f>2231.25</f>
        <v>2231.25</v>
      </c>
      <c r="T108" s="5">
        <f t="shared" si="49"/>
        <v>-431.80999999999995</v>
      </c>
      <c r="U108" s="6">
        <f t="shared" si="50"/>
        <v>0.8064717086834734</v>
      </c>
      <c r="V108" s="5">
        <f t="shared" si="51"/>
        <v>8452.4</v>
      </c>
      <c r="W108" s="5">
        <f t="shared" si="52"/>
        <v>11156.25</v>
      </c>
      <c r="X108" s="5">
        <f t="shared" si="53"/>
        <v>-2703.8500000000004</v>
      </c>
      <c r="Y108" s="6">
        <f t="shared" si="54"/>
        <v>0.75763809523809522</v>
      </c>
    </row>
    <row r="109" spans="1:25" x14ac:dyDescent="0.3">
      <c r="A109" s="3" t="s">
        <v>112</v>
      </c>
      <c r="B109" s="5">
        <f>0</f>
        <v>0</v>
      </c>
      <c r="C109" s="4"/>
      <c r="D109" s="5">
        <f t="shared" si="41"/>
        <v>0</v>
      </c>
      <c r="E109" s="6" t="str">
        <f t="shared" si="42"/>
        <v/>
      </c>
      <c r="F109" s="5">
        <f>0</f>
        <v>0</v>
      </c>
      <c r="G109" s="4"/>
      <c r="H109" s="5">
        <f t="shared" si="43"/>
        <v>0</v>
      </c>
      <c r="I109" s="6" t="str">
        <f t="shared" si="44"/>
        <v/>
      </c>
      <c r="J109" s="5">
        <f>0</f>
        <v>0</v>
      </c>
      <c r="K109" s="4"/>
      <c r="L109" s="5">
        <f t="shared" si="45"/>
        <v>0</v>
      </c>
      <c r="M109" s="6" t="str">
        <f t="shared" si="46"/>
        <v/>
      </c>
      <c r="N109" s="5">
        <f>0</f>
        <v>0</v>
      </c>
      <c r="O109" s="4"/>
      <c r="P109" s="5">
        <f t="shared" si="47"/>
        <v>0</v>
      </c>
      <c r="Q109" s="6" t="str">
        <f t="shared" si="48"/>
        <v/>
      </c>
      <c r="R109" s="5">
        <f>0</f>
        <v>0</v>
      </c>
      <c r="S109" s="4"/>
      <c r="T109" s="5">
        <f t="shared" si="49"/>
        <v>0</v>
      </c>
      <c r="U109" s="6" t="str">
        <f t="shared" si="50"/>
        <v/>
      </c>
      <c r="V109" s="5">
        <f t="shared" si="51"/>
        <v>0</v>
      </c>
      <c r="W109" s="5">
        <f t="shared" si="52"/>
        <v>0</v>
      </c>
      <c r="X109" s="5">
        <f t="shared" si="53"/>
        <v>0</v>
      </c>
      <c r="Y109" s="6" t="str">
        <f t="shared" si="54"/>
        <v/>
      </c>
    </row>
    <row r="110" spans="1:25" x14ac:dyDescent="0.3">
      <c r="A110" s="3" t="s">
        <v>113</v>
      </c>
      <c r="B110" s="7">
        <f>(((B106)+(B107))+(B108))+(B109)</f>
        <v>4635</v>
      </c>
      <c r="C110" s="7">
        <f>(((C106)+(C107))+(C108))+(C109)</f>
        <v>6375</v>
      </c>
      <c r="D110" s="7">
        <f t="shared" si="41"/>
        <v>-1740</v>
      </c>
      <c r="E110" s="8">
        <f t="shared" si="42"/>
        <v>0.72705882352941176</v>
      </c>
      <c r="F110" s="7">
        <f>(((F106)+(F107))+(F108))+(F109)</f>
        <v>4635</v>
      </c>
      <c r="G110" s="7">
        <f>(((G106)+(G107))+(G108))+(G109)</f>
        <v>6375</v>
      </c>
      <c r="H110" s="7">
        <f t="shared" si="43"/>
        <v>-1740</v>
      </c>
      <c r="I110" s="8">
        <f t="shared" si="44"/>
        <v>0.72705882352941176</v>
      </c>
      <c r="J110" s="7">
        <f>(((J106)+(J107))+(J108))+(J109)</f>
        <v>4869.42</v>
      </c>
      <c r="K110" s="7">
        <f>(((K106)+(K107))+(K108))+(K109)</f>
        <v>6375</v>
      </c>
      <c r="L110" s="7">
        <f t="shared" si="45"/>
        <v>-1505.58</v>
      </c>
      <c r="M110" s="8">
        <f t="shared" si="46"/>
        <v>0.76383058823529415</v>
      </c>
      <c r="N110" s="7">
        <f>(((N106)+(N107))+(N108))+(N109)</f>
        <v>4869.04</v>
      </c>
      <c r="O110" s="7">
        <f>(((O106)+(O107))+(O108))+(O109)</f>
        <v>6375</v>
      </c>
      <c r="P110" s="7">
        <f t="shared" si="47"/>
        <v>-1505.96</v>
      </c>
      <c r="Q110" s="8">
        <f t="shared" si="48"/>
        <v>0.76377098039215685</v>
      </c>
      <c r="R110" s="7">
        <f>(((R106)+(R107))+(R108))+(R109)</f>
        <v>5141.2700000000004</v>
      </c>
      <c r="S110" s="7">
        <f>(((S106)+(S107))+(S108))+(S109)</f>
        <v>6375</v>
      </c>
      <c r="T110" s="7">
        <f t="shared" si="49"/>
        <v>-1233.7299999999996</v>
      </c>
      <c r="U110" s="8">
        <f t="shared" si="50"/>
        <v>0.80647372549019614</v>
      </c>
      <c r="V110" s="7">
        <f t="shared" si="51"/>
        <v>24149.73</v>
      </c>
      <c r="W110" s="7">
        <f t="shared" si="52"/>
        <v>31875</v>
      </c>
      <c r="X110" s="7">
        <f t="shared" si="53"/>
        <v>-7725.27</v>
      </c>
      <c r="Y110" s="8">
        <f t="shared" si="54"/>
        <v>0.75763858823529406</v>
      </c>
    </row>
    <row r="111" spans="1:25" x14ac:dyDescent="0.3">
      <c r="A111" s="3" t="s">
        <v>114</v>
      </c>
      <c r="B111" s="4"/>
      <c r="C111" s="4"/>
      <c r="D111" s="5">
        <f t="shared" si="41"/>
        <v>0</v>
      </c>
      <c r="E111" s="6" t="str">
        <f t="shared" si="42"/>
        <v/>
      </c>
      <c r="F111" s="4"/>
      <c r="G111" s="4"/>
      <c r="H111" s="5">
        <f t="shared" si="43"/>
        <v>0</v>
      </c>
      <c r="I111" s="6" t="str">
        <f t="shared" si="44"/>
        <v/>
      </c>
      <c r="J111" s="4"/>
      <c r="K111" s="4"/>
      <c r="L111" s="5">
        <f t="shared" si="45"/>
        <v>0</v>
      </c>
      <c r="M111" s="6" t="str">
        <f t="shared" si="46"/>
        <v/>
      </c>
      <c r="N111" s="4"/>
      <c r="O111" s="4"/>
      <c r="P111" s="5">
        <f t="shared" si="47"/>
        <v>0</v>
      </c>
      <c r="Q111" s="6" t="str">
        <f t="shared" si="48"/>
        <v/>
      </c>
      <c r="R111" s="4"/>
      <c r="S111" s="4"/>
      <c r="T111" s="5">
        <f t="shared" si="49"/>
        <v>0</v>
      </c>
      <c r="U111" s="6" t="str">
        <f t="shared" si="50"/>
        <v/>
      </c>
      <c r="V111" s="5">
        <f t="shared" si="51"/>
        <v>0</v>
      </c>
      <c r="W111" s="5">
        <f t="shared" si="52"/>
        <v>0</v>
      </c>
      <c r="X111" s="5">
        <f t="shared" si="53"/>
        <v>0</v>
      </c>
      <c r="Y111" s="6" t="str">
        <f t="shared" si="54"/>
        <v/>
      </c>
    </row>
    <row r="112" spans="1:25" x14ac:dyDescent="0.3">
      <c r="A112" s="3" t="s">
        <v>115</v>
      </c>
      <c r="B112" s="5">
        <f>65</f>
        <v>65</v>
      </c>
      <c r="C112" s="5">
        <f>57.42</f>
        <v>57.42</v>
      </c>
      <c r="D112" s="5">
        <f t="shared" ref="D112:D143" si="55">(B112)-(C112)</f>
        <v>7.5799999999999983</v>
      </c>
      <c r="E112" s="6">
        <f t="shared" ref="E112:E119" si="56">IF(C112=0,"",(B112)/(C112))</f>
        <v>1.1320097526994077</v>
      </c>
      <c r="F112" s="5">
        <f>3.71</f>
        <v>3.71</v>
      </c>
      <c r="G112" s="5">
        <f>57.42</f>
        <v>57.42</v>
      </c>
      <c r="H112" s="5">
        <f t="shared" ref="H112:H143" si="57">(F112)-(G112)</f>
        <v>-53.71</v>
      </c>
      <c r="I112" s="6">
        <f t="shared" ref="I112:I119" si="58">IF(G112=0,"",(F112)/(G112))</f>
        <v>6.4611633577150815E-2</v>
      </c>
      <c r="J112" s="5">
        <f>4.6</f>
        <v>4.5999999999999996</v>
      </c>
      <c r="K112" s="5">
        <f>57.42</f>
        <v>57.42</v>
      </c>
      <c r="L112" s="5">
        <f t="shared" ref="L112:L143" si="59">(J112)-(K112)</f>
        <v>-52.82</v>
      </c>
      <c r="M112" s="6">
        <f t="shared" ref="M112:M119" si="60">IF(K112=0,"",(J112)/(K112))</f>
        <v>8.011145942180424E-2</v>
      </c>
      <c r="N112" s="5">
        <f>14.72</f>
        <v>14.72</v>
      </c>
      <c r="O112" s="5">
        <f>57.42</f>
        <v>57.42</v>
      </c>
      <c r="P112" s="5">
        <f t="shared" ref="P112:P143" si="61">(N112)-(O112)</f>
        <v>-42.7</v>
      </c>
      <c r="Q112" s="6">
        <f t="shared" ref="Q112:Q119" si="62">IF(O112=0,"",(N112)/(O112))</f>
        <v>0.25635667014977359</v>
      </c>
      <c r="R112" s="5">
        <f>249.37</f>
        <v>249.37</v>
      </c>
      <c r="S112" s="5">
        <f>57.42</f>
        <v>57.42</v>
      </c>
      <c r="T112" s="5">
        <f t="shared" ref="T112:T143" si="63">(R112)-(S112)</f>
        <v>191.95</v>
      </c>
      <c r="U112" s="6">
        <f t="shared" ref="U112:U119" si="64">IF(S112=0,"",(R112)/(S112))</f>
        <v>4.342911877394636</v>
      </c>
      <c r="V112" s="5">
        <f t="shared" ref="V112:V119" si="65">((((B112)+(F112))+(J112))+(N112))+(R112)</f>
        <v>337.4</v>
      </c>
      <c r="W112" s="5">
        <f t="shared" ref="W112:W119" si="66">((((C112)+(G112))+(K112))+(O112))+(S112)</f>
        <v>287.10000000000002</v>
      </c>
      <c r="X112" s="5">
        <f t="shared" ref="X112:X143" si="67">(V112)-(W112)</f>
        <v>50.299999999999955</v>
      </c>
      <c r="Y112" s="6">
        <f t="shared" ref="Y112:Y119" si="68">IF(W112=0,"",(V112)/(W112))</f>
        <v>1.1752002786485543</v>
      </c>
    </row>
    <row r="113" spans="1:25" x14ac:dyDescent="0.3">
      <c r="A113" s="3" t="s">
        <v>116</v>
      </c>
      <c r="B113" s="5">
        <f>35</f>
        <v>35</v>
      </c>
      <c r="C113" s="5">
        <f>30.92</f>
        <v>30.92</v>
      </c>
      <c r="D113" s="5">
        <f t="shared" si="55"/>
        <v>4.0799999999999983</v>
      </c>
      <c r="E113" s="6">
        <f t="shared" si="56"/>
        <v>1.1319534282018111</v>
      </c>
      <c r="F113" s="5">
        <f>2</f>
        <v>2</v>
      </c>
      <c r="G113" s="5">
        <f>30.92</f>
        <v>30.92</v>
      </c>
      <c r="H113" s="5">
        <f t="shared" si="57"/>
        <v>-28.92</v>
      </c>
      <c r="I113" s="6">
        <f t="shared" si="58"/>
        <v>6.4683053040103494E-2</v>
      </c>
      <c r="J113" s="5">
        <f>2.47</f>
        <v>2.4700000000000002</v>
      </c>
      <c r="K113" s="5">
        <f>30.92</f>
        <v>30.92</v>
      </c>
      <c r="L113" s="5">
        <f t="shared" si="59"/>
        <v>-28.450000000000003</v>
      </c>
      <c r="M113" s="6">
        <f t="shared" si="60"/>
        <v>7.9883570504527809E-2</v>
      </c>
      <c r="N113" s="5">
        <f>7.92</f>
        <v>7.92</v>
      </c>
      <c r="O113" s="5">
        <f>30.92</f>
        <v>30.92</v>
      </c>
      <c r="P113" s="5">
        <f t="shared" si="61"/>
        <v>-23</v>
      </c>
      <c r="Q113" s="6">
        <f t="shared" si="62"/>
        <v>0.2561448900388098</v>
      </c>
      <c r="R113" s="5">
        <f>134.26</f>
        <v>134.26</v>
      </c>
      <c r="S113" s="5">
        <f>30.92</f>
        <v>30.92</v>
      </c>
      <c r="T113" s="5">
        <f t="shared" si="63"/>
        <v>103.33999999999999</v>
      </c>
      <c r="U113" s="6">
        <f t="shared" si="64"/>
        <v>4.3421733505821472</v>
      </c>
      <c r="V113" s="5">
        <f t="shared" si="65"/>
        <v>181.64999999999998</v>
      </c>
      <c r="W113" s="5">
        <f t="shared" si="66"/>
        <v>154.60000000000002</v>
      </c>
      <c r="X113" s="5">
        <f t="shared" si="67"/>
        <v>27.049999999999955</v>
      </c>
      <c r="Y113" s="6">
        <f t="shared" si="68"/>
        <v>1.1749676584734796</v>
      </c>
    </row>
    <row r="114" spans="1:25" x14ac:dyDescent="0.3">
      <c r="A114" s="3" t="s">
        <v>117</v>
      </c>
      <c r="B114" s="5">
        <f>0</f>
        <v>0</v>
      </c>
      <c r="C114" s="4"/>
      <c r="D114" s="5">
        <f t="shared" si="55"/>
        <v>0</v>
      </c>
      <c r="E114" s="6" t="str">
        <f t="shared" si="56"/>
        <v/>
      </c>
      <c r="F114" s="5">
        <f>0</f>
        <v>0</v>
      </c>
      <c r="G114" s="4"/>
      <c r="H114" s="5">
        <f t="shared" si="57"/>
        <v>0</v>
      </c>
      <c r="I114" s="6" t="str">
        <f t="shared" si="58"/>
        <v/>
      </c>
      <c r="J114" s="5">
        <f>0</f>
        <v>0</v>
      </c>
      <c r="K114" s="4"/>
      <c r="L114" s="5">
        <f t="shared" si="59"/>
        <v>0</v>
      </c>
      <c r="M114" s="6" t="str">
        <f t="shared" si="60"/>
        <v/>
      </c>
      <c r="N114" s="5">
        <f>0</f>
        <v>0</v>
      </c>
      <c r="O114" s="4"/>
      <c r="P114" s="5">
        <f t="shared" si="61"/>
        <v>0</v>
      </c>
      <c r="Q114" s="6" t="str">
        <f t="shared" si="62"/>
        <v/>
      </c>
      <c r="R114" s="5">
        <f>0</f>
        <v>0</v>
      </c>
      <c r="S114" s="4"/>
      <c r="T114" s="5">
        <f t="shared" si="63"/>
        <v>0</v>
      </c>
      <c r="U114" s="6" t="str">
        <f t="shared" si="64"/>
        <v/>
      </c>
      <c r="V114" s="5">
        <f t="shared" si="65"/>
        <v>0</v>
      </c>
      <c r="W114" s="5">
        <f t="shared" si="66"/>
        <v>0</v>
      </c>
      <c r="X114" s="5">
        <f t="shared" si="67"/>
        <v>0</v>
      </c>
      <c r="Y114" s="6" t="str">
        <f t="shared" si="68"/>
        <v/>
      </c>
    </row>
    <row r="115" spans="1:25" x14ac:dyDescent="0.3">
      <c r="A115" s="3" t="s">
        <v>118</v>
      </c>
      <c r="B115" s="7">
        <f>(((B111)+(B112))+(B113))+(B114)</f>
        <v>100</v>
      </c>
      <c r="C115" s="7">
        <f>(((C111)+(C112))+(C113))+(C114)</f>
        <v>88.34</v>
      </c>
      <c r="D115" s="7">
        <f t="shared" si="55"/>
        <v>11.659999999999997</v>
      </c>
      <c r="E115" s="8">
        <f t="shared" si="56"/>
        <v>1.1319900384876613</v>
      </c>
      <c r="F115" s="7">
        <f>(((F111)+(F112))+(F113))+(F114)</f>
        <v>5.71</v>
      </c>
      <c r="G115" s="7">
        <f>(((G111)+(G112))+(G113))+(G114)</f>
        <v>88.34</v>
      </c>
      <c r="H115" s="7">
        <f t="shared" si="57"/>
        <v>-82.63000000000001</v>
      </c>
      <c r="I115" s="8">
        <f t="shared" si="58"/>
        <v>6.4636631197645456E-2</v>
      </c>
      <c r="J115" s="7">
        <f>(((J111)+(J112))+(J113))+(J114)</f>
        <v>7.07</v>
      </c>
      <c r="K115" s="7">
        <f>(((K111)+(K112))+(K113))+(K114)</f>
        <v>88.34</v>
      </c>
      <c r="L115" s="7">
        <f t="shared" si="59"/>
        <v>-81.27000000000001</v>
      </c>
      <c r="M115" s="8">
        <f t="shared" si="60"/>
        <v>8.0031695721077656E-2</v>
      </c>
      <c r="N115" s="7">
        <f>(((N111)+(N112))+(N113))+(N114)</f>
        <v>22.64</v>
      </c>
      <c r="O115" s="7">
        <f>(((O111)+(O112))+(O113))+(O114)</f>
        <v>88.34</v>
      </c>
      <c r="P115" s="7">
        <f t="shared" si="61"/>
        <v>-65.7</v>
      </c>
      <c r="Q115" s="8">
        <f t="shared" si="62"/>
        <v>0.25628254471360651</v>
      </c>
      <c r="R115" s="7">
        <f>(((R111)+(R112))+(R113))+(R114)</f>
        <v>383.63</v>
      </c>
      <c r="S115" s="7">
        <f>(((S111)+(S112))+(S113))+(S114)</f>
        <v>88.34</v>
      </c>
      <c r="T115" s="7">
        <f t="shared" si="63"/>
        <v>295.28999999999996</v>
      </c>
      <c r="U115" s="8">
        <f t="shared" si="64"/>
        <v>4.3426533846502151</v>
      </c>
      <c r="V115" s="7">
        <f t="shared" si="65"/>
        <v>519.04999999999995</v>
      </c>
      <c r="W115" s="7">
        <f t="shared" si="66"/>
        <v>441.70000000000005</v>
      </c>
      <c r="X115" s="7">
        <f t="shared" si="67"/>
        <v>77.349999999999909</v>
      </c>
      <c r="Y115" s="8">
        <f t="shared" si="68"/>
        <v>1.1751188589540409</v>
      </c>
    </row>
    <row r="116" spans="1:25" x14ac:dyDescent="0.3">
      <c r="A116" s="3" t="s">
        <v>119</v>
      </c>
      <c r="B116" s="4"/>
      <c r="C116" s="5">
        <f>0</f>
        <v>0</v>
      </c>
      <c r="D116" s="5">
        <f t="shared" si="55"/>
        <v>0</v>
      </c>
      <c r="E116" s="6" t="str">
        <f t="shared" si="56"/>
        <v/>
      </c>
      <c r="F116" s="4"/>
      <c r="G116" s="5">
        <f>0</f>
        <v>0</v>
      </c>
      <c r="H116" s="5">
        <f t="shared" si="57"/>
        <v>0</v>
      </c>
      <c r="I116" s="6" t="str">
        <f t="shared" si="58"/>
        <v/>
      </c>
      <c r="J116" s="4"/>
      <c r="K116" s="5">
        <f>0</f>
        <v>0</v>
      </c>
      <c r="L116" s="5">
        <f t="shared" si="59"/>
        <v>0</v>
      </c>
      <c r="M116" s="6" t="str">
        <f t="shared" si="60"/>
        <v/>
      </c>
      <c r="N116" s="4"/>
      <c r="O116" s="5">
        <f>0</f>
        <v>0</v>
      </c>
      <c r="P116" s="5">
        <f t="shared" si="61"/>
        <v>0</v>
      </c>
      <c r="Q116" s="6" t="str">
        <f t="shared" si="62"/>
        <v/>
      </c>
      <c r="R116" s="4"/>
      <c r="S116" s="5">
        <f>2500</f>
        <v>2500</v>
      </c>
      <c r="T116" s="5">
        <f t="shared" si="63"/>
        <v>-2500</v>
      </c>
      <c r="U116" s="6">
        <f t="shared" si="64"/>
        <v>0</v>
      </c>
      <c r="V116" s="5">
        <f t="shared" si="65"/>
        <v>0</v>
      </c>
      <c r="W116" s="5">
        <f t="shared" si="66"/>
        <v>2500</v>
      </c>
      <c r="X116" s="5">
        <f t="shared" si="67"/>
        <v>-2500</v>
      </c>
      <c r="Y116" s="6">
        <f t="shared" si="68"/>
        <v>0</v>
      </c>
    </row>
    <row r="117" spans="1:25" x14ac:dyDescent="0.3">
      <c r="A117" s="3" t="s">
        <v>120</v>
      </c>
      <c r="B117" s="7">
        <f>((((((((((((((((((((B20)+(B25))+(B30))+(B35))+(B40))+(B45))+(B50))+(B55))+(B60))+(B65))+(B70))+(B75))+(B80))+(B85))+(B90))+(B95))+(B100))+(B105))+(B110))+(B115))+(B116)</f>
        <v>16695.010000000002</v>
      </c>
      <c r="C117" s="7">
        <f>((((((((((((((((((((C20)+(C25))+(C30))+(C35))+(C40))+(C45))+(C50))+(C55))+(C60))+(C65))+(C70))+(C75))+(C80))+(C85))+(C90))+(C95))+(C100))+(C105))+(C110))+(C115))+(C116)</f>
        <v>32147.08</v>
      </c>
      <c r="D117" s="7">
        <f t="shared" si="55"/>
        <v>-15452.07</v>
      </c>
      <c r="E117" s="8">
        <f t="shared" si="56"/>
        <v>0.51933208241619455</v>
      </c>
      <c r="F117" s="7">
        <f>((((((((((((((((((((F20)+(F25))+(F30))+(F35))+(F40))+(F45))+(F50))+(F55))+(F60))+(F65))+(F70))+(F75))+(F80))+(F85))+(F90))+(F95))+(F100))+(F105))+(F110))+(F115))+(F116)</f>
        <v>23736.01</v>
      </c>
      <c r="G117" s="7">
        <f>((((((((((((((((((((G20)+(G25))+(G30))+(G35))+(G40))+(G45))+(G50))+(G55))+(G60))+(G65))+(G70))+(G75))+(G80))+(G85))+(G90))+(G95))+(G100))+(G105))+(G110))+(G115))+(G116)</f>
        <v>32147.08</v>
      </c>
      <c r="H117" s="7">
        <f t="shared" si="57"/>
        <v>-8411.0700000000033</v>
      </c>
      <c r="I117" s="8">
        <f t="shared" si="58"/>
        <v>0.73835664078976992</v>
      </c>
      <c r="J117" s="7">
        <f>((((((((((((((((((((J20)+(J25))+(J30))+(J35))+(J40))+(J45))+(J50))+(J55))+(J60))+(J65))+(J70))+(J75))+(J80))+(J85))+(J90))+(J95))+(J100))+(J105))+(J110))+(J115))+(J116)</f>
        <v>30377.449999999997</v>
      </c>
      <c r="K117" s="7">
        <f>((((((((((((((((((((K20)+(K25))+(K30))+(K35))+(K40))+(K45))+(K50))+(K55))+(K60))+(K65))+(K70))+(K75))+(K80))+(K85))+(K90))+(K95))+(K100))+(K105))+(K110))+(K115))+(K116)</f>
        <v>32147.08</v>
      </c>
      <c r="L117" s="7">
        <f t="shared" si="59"/>
        <v>-1769.6300000000047</v>
      </c>
      <c r="M117" s="8">
        <f t="shared" si="60"/>
        <v>0.9449520765183026</v>
      </c>
      <c r="N117" s="7">
        <f>((((((((((((((((((((N20)+(N25))+(N30))+(N35))+(N40))+(N45))+(N50))+(N55))+(N60))+(N65))+(N70))+(N75))+(N80))+(N85))+(N90))+(N95))+(N100))+(N105))+(N110))+(N115))+(N116)</f>
        <v>34112.549999999996</v>
      </c>
      <c r="O117" s="7">
        <f>((((((((((((((((((((O20)+(O25))+(O30))+(O35))+(O40))+(O45))+(O50))+(O55))+(O60))+(O65))+(O70))+(O75))+(O80))+(O85))+(O90))+(O95))+(O100))+(O105))+(O110))+(O115))+(O116)</f>
        <v>32147.08</v>
      </c>
      <c r="P117" s="7">
        <f t="shared" si="61"/>
        <v>1965.4699999999939</v>
      </c>
      <c r="Q117" s="8">
        <f t="shared" si="62"/>
        <v>1.0611399231283212</v>
      </c>
      <c r="R117" s="7">
        <f>((((((((((((((((((((R20)+(R25))+(R30))+(R35))+(R40))+(R45))+(R50))+(R55))+(R60))+(R65))+(R70))+(R75))+(R80))+(R85))+(R90))+(R95))+(R100))+(R105))+(R110))+(R115))+(R116)</f>
        <v>26177.35</v>
      </c>
      <c r="S117" s="7">
        <f>((((((((((((((((((((S20)+(S25))+(S30))+(S35))+(S40))+(S45))+(S50))+(S55))+(S60))+(S65))+(S70))+(S75))+(S80))+(S85))+(S90))+(S95))+(S100))+(S105))+(S110))+(S115))+(S116)</f>
        <v>34647.08</v>
      </c>
      <c r="T117" s="7">
        <f t="shared" si="63"/>
        <v>-8469.7300000000032</v>
      </c>
      <c r="U117" s="8">
        <f t="shared" si="64"/>
        <v>0.755542747036691</v>
      </c>
      <c r="V117" s="7">
        <f t="shared" si="65"/>
        <v>131098.37</v>
      </c>
      <c r="W117" s="7">
        <f t="shared" si="66"/>
        <v>163235.40000000002</v>
      </c>
      <c r="X117" s="7">
        <f t="shared" si="67"/>
        <v>-32137.030000000028</v>
      </c>
      <c r="Y117" s="8">
        <f t="shared" si="68"/>
        <v>0.80312462860384437</v>
      </c>
    </row>
    <row r="118" spans="1:25" x14ac:dyDescent="0.3">
      <c r="A118" s="3" t="s">
        <v>121</v>
      </c>
      <c r="B118" s="7">
        <f>(B14)-(B117)</f>
        <v>0.54000000000087311</v>
      </c>
      <c r="C118" s="7">
        <f>(C14)-(C117)</f>
        <v>9.9999999947613105E-3</v>
      </c>
      <c r="D118" s="7">
        <f t="shared" si="55"/>
        <v>0.5300000000061118</v>
      </c>
      <c r="E118" s="8">
        <f t="shared" si="56"/>
        <v>54.000000028376235</v>
      </c>
      <c r="F118" s="7">
        <f>(F14)-(F117)</f>
        <v>0</v>
      </c>
      <c r="G118" s="7">
        <f>(G14)-(G117)</f>
        <v>9.9999999947613105E-3</v>
      </c>
      <c r="H118" s="7">
        <f t="shared" si="57"/>
        <v>-9.9999999947613105E-3</v>
      </c>
      <c r="I118" s="8">
        <f t="shared" si="58"/>
        <v>0</v>
      </c>
      <c r="J118" s="7">
        <f>(J14)-(J117)</f>
        <v>0</v>
      </c>
      <c r="K118" s="7">
        <f>(K14)-(K117)</f>
        <v>9.9999999947613105E-3</v>
      </c>
      <c r="L118" s="7">
        <f t="shared" si="59"/>
        <v>-9.9999999947613105E-3</v>
      </c>
      <c r="M118" s="8">
        <f t="shared" si="60"/>
        <v>0</v>
      </c>
      <c r="N118" s="7">
        <f>(N14)-(N117)</f>
        <v>0</v>
      </c>
      <c r="O118" s="7">
        <f>(O14)-(O117)</f>
        <v>9.9999999947613105E-3</v>
      </c>
      <c r="P118" s="7">
        <f t="shared" si="61"/>
        <v>-9.9999999947613105E-3</v>
      </c>
      <c r="Q118" s="8">
        <f t="shared" si="62"/>
        <v>0</v>
      </c>
      <c r="R118" s="7">
        <f>(R14)-(R117)</f>
        <v>0</v>
      </c>
      <c r="S118" s="7">
        <f>(S14)-(S117)</f>
        <v>9.9999999947613105E-3</v>
      </c>
      <c r="T118" s="7">
        <f t="shared" si="63"/>
        <v>-9.9999999947613105E-3</v>
      </c>
      <c r="U118" s="8">
        <f t="shared" si="64"/>
        <v>0</v>
      </c>
      <c r="V118" s="7">
        <f t="shared" si="65"/>
        <v>0.54000000000087311</v>
      </c>
      <c r="W118" s="7">
        <f t="shared" si="66"/>
        <v>4.9999999973806553E-2</v>
      </c>
      <c r="X118" s="7">
        <f t="shared" si="67"/>
        <v>0.49000000002706656</v>
      </c>
      <c r="Y118" s="8">
        <f t="shared" si="68"/>
        <v>10.800000005675248</v>
      </c>
    </row>
    <row r="119" spans="1:25" x14ac:dyDescent="0.3">
      <c r="A119" s="3" t="s">
        <v>122</v>
      </c>
      <c r="B119" s="9">
        <f>(B118)+(0)</f>
        <v>0.54000000000087311</v>
      </c>
      <c r="C119" s="9">
        <f>(C118)+(0)</f>
        <v>9.9999999947613105E-3</v>
      </c>
      <c r="D119" s="9">
        <f t="shared" si="55"/>
        <v>0.5300000000061118</v>
      </c>
      <c r="E119" s="10">
        <f t="shared" si="56"/>
        <v>54.000000028376235</v>
      </c>
      <c r="F119" s="9">
        <f>(F118)+(0)</f>
        <v>0</v>
      </c>
      <c r="G119" s="9">
        <f>(G118)+(0)</f>
        <v>9.9999999947613105E-3</v>
      </c>
      <c r="H119" s="9">
        <f t="shared" si="57"/>
        <v>-9.9999999947613105E-3</v>
      </c>
      <c r="I119" s="10">
        <f t="shared" si="58"/>
        <v>0</v>
      </c>
      <c r="J119" s="9">
        <f>(J118)+(0)</f>
        <v>0</v>
      </c>
      <c r="K119" s="9">
        <f>(K118)+(0)</f>
        <v>9.9999999947613105E-3</v>
      </c>
      <c r="L119" s="9">
        <f t="shared" si="59"/>
        <v>-9.9999999947613105E-3</v>
      </c>
      <c r="M119" s="10">
        <f t="shared" si="60"/>
        <v>0</v>
      </c>
      <c r="N119" s="9">
        <f>(N118)+(0)</f>
        <v>0</v>
      </c>
      <c r="O119" s="9">
        <f>(O118)+(0)</f>
        <v>9.9999999947613105E-3</v>
      </c>
      <c r="P119" s="9">
        <f t="shared" si="61"/>
        <v>-9.9999999947613105E-3</v>
      </c>
      <c r="Q119" s="10">
        <f t="shared" si="62"/>
        <v>0</v>
      </c>
      <c r="R119" s="9">
        <f>(R118)+(0)</f>
        <v>0</v>
      </c>
      <c r="S119" s="9">
        <f>(S118)+(0)</f>
        <v>9.9999999947613105E-3</v>
      </c>
      <c r="T119" s="9">
        <f t="shared" si="63"/>
        <v>-9.9999999947613105E-3</v>
      </c>
      <c r="U119" s="10">
        <f t="shared" si="64"/>
        <v>0</v>
      </c>
      <c r="V119" s="9">
        <f t="shared" si="65"/>
        <v>0.54000000000087311</v>
      </c>
      <c r="W119" s="9">
        <f t="shared" si="66"/>
        <v>4.9999999973806553E-2</v>
      </c>
      <c r="X119" s="9">
        <f t="shared" si="67"/>
        <v>0.49000000002706656</v>
      </c>
      <c r="Y119" s="10">
        <f t="shared" si="68"/>
        <v>10.800000005675248</v>
      </c>
    </row>
    <row r="120" spans="1:25" x14ac:dyDescent="0.3">
      <c r="A120" s="3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</row>
    <row r="123" spans="1:25" x14ac:dyDescent="0.3">
      <c r="A123" s="13" t="s">
        <v>123</v>
      </c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</row>
  </sheetData>
  <mergeCells count="10">
    <mergeCell ref="V5:Y5"/>
    <mergeCell ref="A123:Y123"/>
    <mergeCell ref="A1:Y1"/>
    <mergeCell ref="A2:Y2"/>
    <mergeCell ref="A3:Y3"/>
    <mergeCell ref="B5:E5"/>
    <mergeCell ref="F5:I5"/>
    <mergeCell ref="J5:M5"/>
    <mergeCell ref="N5:Q5"/>
    <mergeCell ref="R5:U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 vs. Actuals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Jenna Hamdy</cp:lastModifiedBy>
  <dcterms:created xsi:type="dcterms:W3CDTF">2024-03-04T18:22:02Z</dcterms:created>
  <dcterms:modified xsi:type="dcterms:W3CDTF">2024-03-04T18:22:50Z</dcterms:modified>
</cp:coreProperties>
</file>