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51fbdd1950087d/Documents/"/>
    </mc:Choice>
  </mc:AlternateContent>
  <xr:revisionPtr revIDLastSave="0" documentId="8_{706D5B41-C079-4DE7-9653-479415F9D0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20" i="1" l="1"/>
  <c r="W120" i="1"/>
  <c r="V120" i="1"/>
  <c r="K120" i="1"/>
  <c r="J120" i="1"/>
  <c r="AK119" i="1"/>
  <c r="AI119" i="1"/>
  <c r="AG119" i="1"/>
  <c r="AF119" i="1"/>
  <c r="AD119" i="1"/>
  <c r="AC119" i="1"/>
  <c r="AB119" i="1"/>
  <c r="Z119" i="1"/>
  <c r="Y119" i="1"/>
  <c r="V119" i="1"/>
  <c r="X119" i="1" s="1"/>
  <c r="U119" i="1"/>
  <c r="R119" i="1"/>
  <c r="Q119" i="1"/>
  <c r="P119" i="1"/>
  <c r="N119" i="1"/>
  <c r="M119" i="1"/>
  <c r="L119" i="1"/>
  <c r="J119" i="1"/>
  <c r="I119" i="1"/>
  <c r="F119" i="1"/>
  <c r="F120" i="1" s="1"/>
  <c r="H120" i="1" s="1"/>
  <c r="E119" i="1"/>
  <c r="B119" i="1"/>
  <c r="AE118" i="1"/>
  <c r="AG118" i="1" s="1"/>
  <c r="AD118" i="1"/>
  <c r="AA118" i="1"/>
  <c r="Z118" i="1"/>
  <c r="W118" i="1"/>
  <c r="V118" i="1"/>
  <c r="X118" i="1" s="1"/>
  <c r="S118" i="1"/>
  <c r="U118" i="1" s="1"/>
  <c r="R118" i="1"/>
  <c r="O118" i="1"/>
  <c r="N118" i="1"/>
  <c r="K118" i="1"/>
  <c r="J118" i="1"/>
  <c r="L118" i="1" s="1"/>
  <c r="G118" i="1"/>
  <c r="I118" i="1" s="1"/>
  <c r="F118" i="1"/>
  <c r="C118" i="1"/>
  <c r="AI118" i="1" s="1"/>
  <c r="B118" i="1"/>
  <c r="AE117" i="1"/>
  <c r="AE120" i="1" s="1"/>
  <c r="AD117" i="1"/>
  <c r="AA117" i="1"/>
  <c r="AA120" i="1" s="1"/>
  <c r="Z117" i="1"/>
  <c r="W117" i="1"/>
  <c r="V117" i="1"/>
  <c r="X117" i="1" s="1"/>
  <c r="S117" i="1"/>
  <c r="S120" i="1" s="1"/>
  <c r="R117" i="1"/>
  <c r="O117" i="1"/>
  <c r="O120" i="1" s="1"/>
  <c r="N117" i="1"/>
  <c r="K117" i="1"/>
  <c r="J117" i="1"/>
  <c r="L117" i="1" s="1"/>
  <c r="G117" i="1"/>
  <c r="G120" i="1" s="1"/>
  <c r="I120" i="1" s="1"/>
  <c r="F117" i="1"/>
  <c r="C117" i="1"/>
  <c r="AI117" i="1" s="1"/>
  <c r="B117" i="1"/>
  <c r="AK116" i="1"/>
  <c r="AI116" i="1"/>
  <c r="AH116" i="1"/>
  <c r="AJ116" i="1" s="1"/>
  <c r="AG116" i="1"/>
  <c r="AF116" i="1"/>
  <c r="AC116" i="1"/>
  <c r="AB116" i="1"/>
  <c r="Y116" i="1"/>
  <c r="X116" i="1"/>
  <c r="U116" i="1"/>
  <c r="T116" i="1"/>
  <c r="Q116" i="1"/>
  <c r="P116" i="1"/>
  <c r="M116" i="1"/>
  <c r="L116" i="1"/>
  <c r="I116" i="1"/>
  <c r="H116" i="1"/>
  <c r="E116" i="1"/>
  <c r="D116" i="1"/>
  <c r="Z115" i="1"/>
  <c r="V115" i="1"/>
  <c r="S115" i="1"/>
  <c r="R115" i="1"/>
  <c r="T115" i="1" s="1"/>
  <c r="K115" i="1"/>
  <c r="G115" i="1"/>
  <c r="B115" i="1"/>
  <c r="AI114" i="1"/>
  <c r="AK114" i="1" s="1"/>
  <c r="AG114" i="1"/>
  <c r="AD114" i="1"/>
  <c r="AC114" i="1"/>
  <c r="AB114" i="1"/>
  <c r="Y114" i="1"/>
  <c r="X114" i="1"/>
  <c r="V114" i="1"/>
  <c r="U114" i="1"/>
  <c r="R114" i="1"/>
  <c r="T114" i="1" s="1"/>
  <c r="Q114" i="1"/>
  <c r="P114" i="1"/>
  <c r="N114" i="1"/>
  <c r="M114" i="1"/>
  <c r="L114" i="1"/>
  <c r="J114" i="1"/>
  <c r="I114" i="1"/>
  <c r="H114" i="1"/>
  <c r="F114" i="1"/>
  <c r="E114" i="1"/>
  <c r="D114" i="1"/>
  <c r="AG113" i="1"/>
  <c r="AF113" i="1"/>
  <c r="AE113" i="1"/>
  <c r="AC113" i="1"/>
  <c r="AB113" i="1"/>
  <c r="AA113" i="1"/>
  <c r="W113" i="1"/>
  <c r="S113" i="1"/>
  <c r="R113" i="1"/>
  <c r="U113" i="1" s="1"/>
  <c r="O113" i="1"/>
  <c r="O115" i="1" s="1"/>
  <c r="N113" i="1"/>
  <c r="P113" i="1" s="1"/>
  <c r="K113" i="1"/>
  <c r="M113" i="1" s="1"/>
  <c r="J113" i="1"/>
  <c r="L113" i="1" s="1"/>
  <c r="I113" i="1"/>
  <c r="H113" i="1"/>
  <c r="G113" i="1"/>
  <c r="F113" i="1"/>
  <c r="C113" i="1"/>
  <c r="AE112" i="1"/>
  <c r="AA112" i="1"/>
  <c r="W112" i="1"/>
  <c r="S112" i="1"/>
  <c r="U112" i="1" s="1"/>
  <c r="R112" i="1"/>
  <c r="T112" i="1" s="1"/>
  <c r="P112" i="1"/>
  <c r="O112" i="1"/>
  <c r="N112" i="1"/>
  <c r="K112" i="1"/>
  <c r="J112" i="1"/>
  <c r="L112" i="1" s="1"/>
  <c r="G112" i="1"/>
  <c r="F112" i="1"/>
  <c r="E112" i="1"/>
  <c r="D112" i="1"/>
  <c r="C112" i="1"/>
  <c r="AK111" i="1"/>
  <c r="AJ111" i="1"/>
  <c r="AI111" i="1"/>
  <c r="AH111" i="1"/>
  <c r="AG111" i="1"/>
  <c r="AF111" i="1"/>
  <c r="AC111" i="1"/>
  <c r="AB111" i="1"/>
  <c r="Y111" i="1"/>
  <c r="X111" i="1"/>
  <c r="U111" i="1"/>
  <c r="T111" i="1"/>
  <c r="Q111" i="1"/>
  <c r="P111" i="1"/>
  <c r="M111" i="1"/>
  <c r="L111" i="1"/>
  <c r="I111" i="1"/>
  <c r="H111" i="1"/>
  <c r="E111" i="1"/>
  <c r="D111" i="1"/>
  <c r="AD110" i="1"/>
  <c r="AF110" i="1" s="1"/>
  <c r="Z110" i="1"/>
  <c r="V110" i="1"/>
  <c r="R110" i="1"/>
  <c r="N110" i="1"/>
  <c r="J110" i="1"/>
  <c r="F110" i="1"/>
  <c r="B110" i="1"/>
  <c r="AH109" i="1"/>
  <c r="AG109" i="1"/>
  <c r="AF109" i="1"/>
  <c r="AE109" i="1"/>
  <c r="AE110" i="1" s="1"/>
  <c r="AG110" i="1" s="1"/>
  <c r="AC109" i="1"/>
  <c r="AB109" i="1"/>
  <c r="AA109" i="1"/>
  <c r="W109" i="1"/>
  <c r="U109" i="1"/>
  <c r="T109" i="1"/>
  <c r="S109" i="1"/>
  <c r="Q109" i="1"/>
  <c r="P109" i="1"/>
  <c r="O109" i="1"/>
  <c r="M109" i="1"/>
  <c r="L109" i="1"/>
  <c r="K109" i="1"/>
  <c r="G109" i="1"/>
  <c r="E109" i="1"/>
  <c r="D109" i="1"/>
  <c r="C109" i="1"/>
  <c r="AH108" i="1"/>
  <c r="AG108" i="1"/>
  <c r="AE108" i="1"/>
  <c r="AF108" i="1" s="1"/>
  <c r="AA108" i="1"/>
  <c r="W108" i="1"/>
  <c r="X108" i="1" s="1"/>
  <c r="S108" i="1"/>
  <c r="Q108" i="1"/>
  <c r="O108" i="1"/>
  <c r="O110" i="1" s="1"/>
  <c r="Q110" i="1" s="1"/>
  <c r="K108" i="1"/>
  <c r="M108" i="1" s="1"/>
  <c r="I108" i="1"/>
  <c r="G108" i="1"/>
  <c r="C108" i="1"/>
  <c r="AK107" i="1"/>
  <c r="AI107" i="1"/>
  <c r="AH107" i="1"/>
  <c r="AJ107" i="1" s="1"/>
  <c r="AG107" i="1"/>
  <c r="AF107" i="1"/>
  <c r="AC107" i="1"/>
  <c r="AB107" i="1"/>
  <c r="Y107" i="1"/>
  <c r="X107" i="1"/>
  <c r="U107" i="1"/>
  <c r="T107" i="1"/>
  <c r="Q107" i="1"/>
  <c r="P107" i="1"/>
  <c r="M107" i="1"/>
  <c r="L107" i="1"/>
  <c r="I107" i="1"/>
  <c r="H107" i="1"/>
  <c r="E107" i="1"/>
  <c r="D107" i="1"/>
  <c r="AD106" i="1"/>
  <c r="AC106" i="1"/>
  <c r="AB106" i="1"/>
  <c r="AA106" i="1"/>
  <c r="Z106" i="1"/>
  <c r="V106" i="1"/>
  <c r="R106" i="1"/>
  <c r="N106" i="1"/>
  <c r="M106" i="1"/>
  <c r="K106" i="1"/>
  <c r="J106" i="1"/>
  <c r="L106" i="1" s="1"/>
  <c r="I106" i="1"/>
  <c r="F106" i="1"/>
  <c r="AK105" i="1"/>
  <c r="AI105" i="1"/>
  <c r="AG105" i="1"/>
  <c r="AF105" i="1"/>
  <c r="AC105" i="1"/>
  <c r="AB105" i="1"/>
  <c r="Y105" i="1"/>
  <c r="X105" i="1"/>
  <c r="U105" i="1"/>
  <c r="T105" i="1"/>
  <c r="Q105" i="1"/>
  <c r="P105" i="1"/>
  <c r="M105" i="1"/>
  <c r="L105" i="1"/>
  <c r="I105" i="1"/>
  <c r="H105" i="1"/>
  <c r="E105" i="1"/>
  <c r="B105" i="1"/>
  <c r="AE104" i="1"/>
  <c r="AF104" i="1" s="1"/>
  <c r="AC104" i="1"/>
  <c r="AA104" i="1"/>
  <c r="AB104" i="1" s="1"/>
  <c r="X104" i="1"/>
  <c r="W104" i="1"/>
  <c r="Y104" i="1" s="1"/>
  <c r="S104" i="1"/>
  <c r="Q104" i="1"/>
  <c r="O104" i="1"/>
  <c r="P104" i="1" s="1"/>
  <c r="M104" i="1"/>
  <c r="K104" i="1"/>
  <c r="L104" i="1" s="1"/>
  <c r="G104" i="1"/>
  <c r="I104" i="1" s="1"/>
  <c r="C104" i="1"/>
  <c r="B104" i="1"/>
  <c r="AI103" i="1"/>
  <c r="AE103" i="1"/>
  <c r="AC103" i="1"/>
  <c r="AB103" i="1"/>
  <c r="AA103" i="1"/>
  <c r="Y103" i="1"/>
  <c r="X103" i="1"/>
  <c r="W103" i="1"/>
  <c r="U103" i="1"/>
  <c r="T103" i="1"/>
  <c r="S103" i="1"/>
  <c r="O103" i="1"/>
  <c r="M103" i="1"/>
  <c r="L103" i="1"/>
  <c r="K103" i="1"/>
  <c r="I103" i="1"/>
  <c r="H103" i="1"/>
  <c r="G103" i="1"/>
  <c r="G106" i="1" s="1"/>
  <c r="E103" i="1"/>
  <c r="D103" i="1"/>
  <c r="C103" i="1"/>
  <c r="B103" i="1"/>
  <c r="AJ102" i="1"/>
  <c r="AI102" i="1"/>
  <c r="AK102" i="1" s="1"/>
  <c r="AH102" i="1"/>
  <c r="AG102" i="1"/>
  <c r="AF102" i="1"/>
  <c r="AC102" i="1"/>
  <c r="AB102" i="1"/>
  <c r="Y102" i="1"/>
  <c r="X102" i="1"/>
  <c r="U102" i="1"/>
  <c r="T102" i="1"/>
  <c r="Q102" i="1"/>
  <c r="P102" i="1"/>
  <c r="M102" i="1"/>
  <c r="L102" i="1"/>
  <c r="I102" i="1"/>
  <c r="H102" i="1"/>
  <c r="E102" i="1"/>
  <c r="D102" i="1"/>
  <c r="AD101" i="1"/>
  <c r="AA101" i="1"/>
  <c r="AC101" i="1" s="1"/>
  <c r="Z101" i="1"/>
  <c r="V101" i="1"/>
  <c r="S101" i="1"/>
  <c r="R101" i="1"/>
  <c r="T101" i="1" s="1"/>
  <c r="O101" i="1"/>
  <c r="Q101" i="1" s="1"/>
  <c r="K101" i="1"/>
  <c r="F101" i="1"/>
  <c r="AI100" i="1"/>
  <c r="AK100" i="1" s="1"/>
  <c r="AG100" i="1"/>
  <c r="AF100" i="1"/>
  <c r="AC100" i="1"/>
  <c r="AB100" i="1"/>
  <c r="Y100" i="1"/>
  <c r="X100" i="1"/>
  <c r="U100" i="1"/>
  <c r="T100" i="1"/>
  <c r="Q100" i="1"/>
  <c r="N100" i="1"/>
  <c r="P100" i="1" s="1"/>
  <c r="M100" i="1"/>
  <c r="J100" i="1"/>
  <c r="L100" i="1" s="1"/>
  <c r="I100" i="1"/>
  <c r="H100" i="1"/>
  <c r="F100" i="1"/>
  <c r="E100" i="1"/>
  <c r="D100" i="1"/>
  <c r="B100" i="1"/>
  <c r="AE99" i="1"/>
  <c r="AA99" i="1"/>
  <c r="W99" i="1"/>
  <c r="X99" i="1" s="1"/>
  <c r="U99" i="1"/>
  <c r="T99" i="1"/>
  <c r="S99" i="1"/>
  <c r="O99" i="1"/>
  <c r="N99" i="1"/>
  <c r="N101" i="1" s="1"/>
  <c r="M99" i="1"/>
  <c r="K99" i="1"/>
  <c r="L99" i="1" s="1"/>
  <c r="J99" i="1"/>
  <c r="I99" i="1"/>
  <c r="H99" i="1"/>
  <c r="G99" i="1"/>
  <c r="F99" i="1"/>
  <c r="D99" i="1"/>
  <c r="C99" i="1"/>
  <c r="B99" i="1"/>
  <c r="AE98" i="1"/>
  <c r="AG98" i="1" s="1"/>
  <c r="AA98" i="1"/>
  <c r="W98" i="1"/>
  <c r="Y98" i="1" s="1"/>
  <c r="U98" i="1"/>
  <c r="T98" i="1"/>
  <c r="S98" i="1"/>
  <c r="Q98" i="1"/>
  <c r="P98" i="1"/>
  <c r="O98" i="1"/>
  <c r="N98" i="1"/>
  <c r="K98" i="1"/>
  <c r="M98" i="1" s="1"/>
  <c r="J98" i="1"/>
  <c r="H98" i="1"/>
  <c r="G98" i="1"/>
  <c r="G101" i="1" s="1"/>
  <c r="I101" i="1" s="1"/>
  <c r="F98" i="1"/>
  <c r="AH98" i="1" s="1"/>
  <c r="D98" i="1"/>
  <c r="C98" i="1"/>
  <c r="B98" i="1"/>
  <c r="AI97" i="1"/>
  <c r="AK97" i="1" s="1"/>
  <c r="AH97" i="1"/>
  <c r="AJ97" i="1" s="1"/>
  <c r="AG97" i="1"/>
  <c r="AF97" i="1"/>
  <c r="AC97" i="1"/>
  <c r="AB97" i="1"/>
  <c r="Y97" i="1"/>
  <c r="X97" i="1"/>
  <c r="U97" i="1"/>
  <c r="T97" i="1"/>
  <c r="Q97" i="1"/>
  <c r="P97" i="1"/>
  <c r="M97" i="1"/>
  <c r="L97" i="1"/>
  <c r="I97" i="1"/>
  <c r="H97" i="1"/>
  <c r="E97" i="1"/>
  <c r="D97" i="1"/>
  <c r="AE96" i="1"/>
  <c r="AD96" i="1"/>
  <c r="AF96" i="1" s="1"/>
  <c r="R96" i="1"/>
  <c r="Q96" i="1"/>
  <c r="O96" i="1"/>
  <c r="P96" i="1" s="1"/>
  <c r="C96" i="1"/>
  <c r="B96" i="1"/>
  <c r="AK95" i="1"/>
  <c r="AJ95" i="1"/>
  <c r="AI95" i="1"/>
  <c r="AG95" i="1"/>
  <c r="AF95" i="1"/>
  <c r="AD95" i="1"/>
  <c r="AC95" i="1"/>
  <c r="Z95" i="1"/>
  <c r="Z96" i="1" s="1"/>
  <c r="Y95" i="1"/>
  <c r="V95" i="1"/>
  <c r="X95" i="1" s="1"/>
  <c r="U95" i="1"/>
  <c r="T95" i="1"/>
  <c r="R95" i="1"/>
  <c r="Q95" i="1"/>
  <c r="P95" i="1"/>
  <c r="N95" i="1"/>
  <c r="N96" i="1" s="1"/>
  <c r="M95" i="1"/>
  <c r="L95" i="1"/>
  <c r="J95" i="1"/>
  <c r="I95" i="1"/>
  <c r="F95" i="1"/>
  <c r="H95" i="1" s="1"/>
  <c r="E95" i="1"/>
  <c r="D95" i="1"/>
  <c r="B95" i="1"/>
  <c r="AH95" i="1" s="1"/>
  <c r="AI94" i="1"/>
  <c r="AK94" i="1" s="1"/>
  <c r="AH94" i="1"/>
  <c r="AE94" i="1"/>
  <c r="AG94" i="1" s="1"/>
  <c r="AD94" i="1"/>
  <c r="AA94" i="1"/>
  <c r="Z94" i="1"/>
  <c r="W94" i="1"/>
  <c r="V94" i="1"/>
  <c r="X94" i="1" s="1"/>
  <c r="U94" i="1"/>
  <c r="T94" i="1"/>
  <c r="S94" i="1"/>
  <c r="R94" i="1"/>
  <c r="O94" i="1"/>
  <c r="Q94" i="1" s="1"/>
  <c r="N94" i="1"/>
  <c r="K94" i="1"/>
  <c r="M94" i="1" s="1"/>
  <c r="J94" i="1"/>
  <c r="L94" i="1" s="1"/>
  <c r="I94" i="1"/>
  <c r="H94" i="1"/>
  <c r="G94" i="1"/>
  <c r="F94" i="1"/>
  <c r="E94" i="1"/>
  <c r="C94" i="1"/>
  <c r="D94" i="1" s="1"/>
  <c r="B94" i="1"/>
  <c r="AG93" i="1"/>
  <c r="AE93" i="1"/>
  <c r="AF93" i="1" s="1"/>
  <c r="AD93" i="1"/>
  <c r="AB93" i="1"/>
  <c r="AA93" i="1"/>
  <c r="AA96" i="1" s="1"/>
  <c r="AB96" i="1" s="1"/>
  <c r="Z93" i="1"/>
  <c r="W93" i="1"/>
  <c r="V93" i="1"/>
  <c r="U93" i="1"/>
  <c r="T93" i="1"/>
  <c r="S93" i="1"/>
  <c r="S96" i="1" s="1"/>
  <c r="U96" i="1" s="1"/>
  <c r="R93" i="1"/>
  <c r="O93" i="1"/>
  <c r="Q93" i="1" s="1"/>
  <c r="N93" i="1"/>
  <c r="K93" i="1"/>
  <c r="J93" i="1"/>
  <c r="G93" i="1"/>
  <c r="F93" i="1"/>
  <c r="E93" i="1"/>
  <c r="D93" i="1"/>
  <c r="C93" i="1"/>
  <c r="B93" i="1"/>
  <c r="AI92" i="1"/>
  <c r="AK92" i="1" s="1"/>
  <c r="AH92" i="1"/>
  <c r="AJ92" i="1" s="1"/>
  <c r="AG92" i="1"/>
  <c r="AF92" i="1"/>
  <c r="AC92" i="1"/>
  <c r="AB92" i="1"/>
  <c r="Y92" i="1"/>
  <c r="X92" i="1"/>
  <c r="U92" i="1"/>
  <c r="T92" i="1"/>
  <c r="Q92" i="1"/>
  <c r="P92" i="1"/>
  <c r="M92" i="1"/>
  <c r="L92" i="1"/>
  <c r="I92" i="1"/>
  <c r="H92" i="1"/>
  <c r="E92" i="1"/>
  <c r="D92" i="1"/>
  <c r="W91" i="1"/>
  <c r="Y91" i="1" s="1"/>
  <c r="S91" i="1"/>
  <c r="U91" i="1" s="1"/>
  <c r="R91" i="1"/>
  <c r="B91" i="1"/>
  <c r="AK90" i="1"/>
  <c r="AI90" i="1"/>
  <c r="AG90" i="1"/>
  <c r="AD90" i="1"/>
  <c r="AD91" i="1" s="1"/>
  <c r="AF91" i="1" s="1"/>
  <c r="AC90" i="1"/>
  <c r="AB90" i="1"/>
  <c r="Z90" i="1"/>
  <c r="Z91" i="1" s="1"/>
  <c r="Y90" i="1"/>
  <c r="V90" i="1"/>
  <c r="X90" i="1" s="1"/>
  <c r="U90" i="1"/>
  <c r="T90" i="1"/>
  <c r="R90" i="1"/>
  <c r="Q90" i="1"/>
  <c r="N90" i="1"/>
  <c r="M90" i="1"/>
  <c r="J90" i="1"/>
  <c r="L90" i="1" s="1"/>
  <c r="I90" i="1"/>
  <c r="F90" i="1"/>
  <c r="H90" i="1" s="1"/>
  <c r="E90" i="1"/>
  <c r="D90" i="1"/>
  <c r="B90" i="1"/>
  <c r="AH89" i="1"/>
  <c r="AF89" i="1"/>
  <c r="AE89" i="1"/>
  <c r="AE91" i="1" s="1"/>
  <c r="AD89" i="1"/>
  <c r="AC89" i="1"/>
  <c r="AB89" i="1"/>
  <c r="AA89" i="1"/>
  <c r="Z89" i="1"/>
  <c r="X89" i="1"/>
  <c r="W89" i="1"/>
  <c r="Y89" i="1" s="1"/>
  <c r="V89" i="1"/>
  <c r="T89" i="1"/>
  <c r="S89" i="1"/>
  <c r="U89" i="1" s="1"/>
  <c r="R89" i="1"/>
  <c r="O89" i="1"/>
  <c r="Q89" i="1" s="1"/>
  <c r="N89" i="1"/>
  <c r="K89" i="1"/>
  <c r="M89" i="1" s="1"/>
  <c r="J89" i="1"/>
  <c r="L89" i="1" s="1"/>
  <c r="G89" i="1"/>
  <c r="F89" i="1"/>
  <c r="E89" i="1"/>
  <c r="D89" i="1"/>
  <c r="C89" i="1"/>
  <c r="B89" i="1"/>
  <c r="AH88" i="1"/>
  <c r="AE88" i="1"/>
  <c r="AG88" i="1" s="1"/>
  <c r="AD88" i="1"/>
  <c r="AA88" i="1"/>
  <c r="AC88" i="1" s="1"/>
  <c r="Z88" i="1"/>
  <c r="X88" i="1"/>
  <c r="W88" i="1"/>
  <c r="Y88" i="1" s="1"/>
  <c r="V88" i="1"/>
  <c r="V91" i="1" s="1"/>
  <c r="U88" i="1"/>
  <c r="T88" i="1"/>
  <c r="S88" i="1"/>
  <c r="R88" i="1"/>
  <c r="P88" i="1"/>
  <c r="O88" i="1"/>
  <c r="N88" i="1"/>
  <c r="K88" i="1"/>
  <c r="J88" i="1"/>
  <c r="H88" i="1"/>
  <c r="G88" i="1"/>
  <c r="I88" i="1" s="1"/>
  <c r="F88" i="1"/>
  <c r="C88" i="1"/>
  <c r="B88" i="1"/>
  <c r="AI87" i="1"/>
  <c r="AK87" i="1" s="1"/>
  <c r="AH87" i="1"/>
  <c r="AJ87" i="1" s="1"/>
  <c r="AG87" i="1"/>
  <c r="AF87" i="1"/>
  <c r="AC87" i="1"/>
  <c r="AB87" i="1"/>
  <c r="Y87" i="1"/>
  <c r="X87" i="1"/>
  <c r="U87" i="1"/>
  <c r="T87" i="1"/>
  <c r="Q87" i="1"/>
  <c r="P87" i="1"/>
  <c r="M87" i="1"/>
  <c r="L87" i="1"/>
  <c r="I87" i="1"/>
  <c r="H87" i="1"/>
  <c r="E87" i="1"/>
  <c r="D87" i="1"/>
  <c r="AF86" i="1"/>
  <c r="AE86" i="1"/>
  <c r="AG86" i="1" s="1"/>
  <c r="AD86" i="1"/>
  <c r="Z86" i="1"/>
  <c r="V86" i="1"/>
  <c r="T86" i="1"/>
  <c r="S86" i="1"/>
  <c r="R86" i="1"/>
  <c r="O86" i="1"/>
  <c r="Q86" i="1" s="1"/>
  <c r="N86" i="1"/>
  <c r="J86" i="1"/>
  <c r="G86" i="1"/>
  <c r="F86" i="1"/>
  <c r="H86" i="1" s="1"/>
  <c r="E86" i="1"/>
  <c r="D86" i="1"/>
  <c r="C86" i="1"/>
  <c r="B86" i="1"/>
  <c r="AH85" i="1"/>
  <c r="AE85" i="1"/>
  <c r="AG85" i="1" s="1"/>
  <c r="AB85" i="1"/>
  <c r="AA85" i="1"/>
  <c r="AC85" i="1" s="1"/>
  <c r="W85" i="1"/>
  <c r="U85" i="1"/>
  <c r="T85" i="1"/>
  <c r="S85" i="1"/>
  <c r="P85" i="1"/>
  <c r="O85" i="1"/>
  <c r="Q85" i="1" s="1"/>
  <c r="K85" i="1"/>
  <c r="G85" i="1"/>
  <c r="E85" i="1"/>
  <c r="D85" i="1"/>
  <c r="C85" i="1"/>
  <c r="AH84" i="1"/>
  <c r="AE84" i="1"/>
  <c r="AG84" i="1" s="1"/>
  <c r="AA84" i="1"/>
  <c r="Y84" i="1"/>
  <c r="X84" i="1"/>
  <c r="W84" i="1"/>
  <c r="U84" i="1"/>
  <c r="S84" i="1"/>
  <c r="T84" i="1" s="1"/>
  <c r="Q84" i="1"/>
  <c r="P84" i="1"/>
  <c r="O84" i="1"/>
  <c r="K84" i="1"/>
  <c r="I84" i="1"/>
  <c r="H84" i="1"/>
  <c r="G84" i="1"/>
  <c r="E84" i="1"/>
  <c r="D84" i="1"/>
  <c r="C84" i="1"/>
  <c r="AI84" i="1" s="1"/>
  <c r="AK84" i="1" s="1"/>
  <c r="AJ83" i="1"/>
  <c r="AI83" i="1"/>
  <c r="AK83" i="1" s="1"/>
  <c r="AH83" i="1"/>
  <c r="AG83" i="1"/>
  <c r="AF83" i="1"/>
  <c r="AC83" i="1"/>
  <c r="AB83" i="1"/>
  <c r="Y83" i="1"/>
  <c r="X83" i="1"/>
  <c r="U83" i="1"/>
  <c r="T83" i="1"/>
  <c r="Q83" i="1"/>
  <c r="P83" i="1"/>
  <c r="M83" i="1"/>
  <c r="L83" i="1"/>
  <c r="I83" i="1"/>
  <c r="H83" i="1"/>
  <c r="E83" i="1"/>
  <c r="D83" i="1"/>
  <c r="AD82" i="1"/>
  <c r="Z82" i="1"/>
  <c r="X82" i="1"/>
  <c r="W82" i="1"/>
  <c r="Y82" i="1" s="1"/>
  <c r="V82" i="1"/>
  <c r="R82" i="1"/>
  <c r="J82" i="1"/>
  <c r="G82" i="1"/>
  <c r="AI81" i="1"/>
  <c r="AK81" i="1" s="1"/>
  <c r="AG81" i="1"/>
  <c r="AF81" i="1"/>
  <c r="AC81" i="1"/>
  <c r="AB81" i="1"/>
  <c r="Y81" i="1"/>
  <c r="X81" i="1"/>
  <c r="U81" i="1"/>
  <c r="T81" i="1"/>
  <c r="Q81" i="1"/>
  <c r="P81" i="1"/>
  <c r="N81" i="1"/>
  <c r="M81" i="1"/>
  <c r="L81" i="1"/>
  <c r="J81" i="1"/>
  <c r="I81" i="1"/>
  <c r="F81" i="1"/>
  <c r="E81" i="1"/>
  <c r="D81" i="1"/>
  <c r="B81" i="1"/>
  <c r="AE80" i="1"/>
  <c r="AA80" i="1"/>
  <c r="AC80" i="1" s="1"/>
  <c r="Y80" i="1"/>
  <c r="X80" i="1"/>
  <c r="W80" i="1"/>
  <c r="S80" i="1"/>
  <c r="O80" i="1"/>
  <c r="Q80" i="1" s="1"/>
  <c r="N80" i="1"/>
  <c r="K80" i="1"/>
  <c r="J80" i="1"/>
  <c r="H80" i="1"/>
  <c r="G80" i="1"/>
  <c r="I80" i="1" s="1"/>
  <c r="F80" i="1"/>
  <c r="AH80" i="1" s="1"/>
  <c r="E80" i="1"/>
  <c r="D80" i="1"/>
  <c r="C80" i="1"/>
  <c r="B80" i="1"/>
  <c r="AE79" i="1"/>
  <c r="AG79" i="1" s="1"/>
  <c r="AC79" i="1"/>
  <c r="AB79" i="1"/>
  <c r="AA79" i="1"/>
  <c r="Y79" i="1"/>
  <c r="W79" i="1"/>
  <c r="X79" i="1" s="1"/>
  <c r="U79" i="1"/>
  <c r="T79" i="1"/>
  <c r="S79" i="1"/>
  <c r="O79" i="1"/>
  <c r="N79" i="1"/>
  <c r="M79" i="1"/>
  <c r="L79" i="1"/>
  <c r="K79" i="1"/>
  <c r="J79" i="1"/>
  <c r="I79" i="1"/>
  <c r="H79" i="1"/>
  <c r="G79" i="1"/>
  <c r="F79" i="1"/>
  <c r="C79" i="1"/>
  <c r="B79" i="1"/>
  <c r="AK78" i="1"/>
  <c r="AJ78" i="1"/>
  <c r="AI78" i="1"/>
  <c r="AH78" i="1"/>
  <c r="AG78" i="1"/>
  <c r="AF78" i="1"/>
  <c r="AC78" i="1"/>
  <c r="AB78" i="1"/>
  <c r="Y78" i="1"/>
  <c r="X78" i="1"/>
  <c r="U78" i="1"/>
  <c r="T78" i="1"/>
  <c r="Q78" i="1"/>
  <c r="P78" i="1"/>
  <c r="M78" i="1"/>
  <c r="L78" i="1"/>
  <c r="I78" i="1"/>
  <c r="H78" i="1"/>
  <c r="E78" i="1"/>
  <c r="D78" i="1"/>
  <c r="AE77" i="1"/>
  <c r="AD77" i="1"/>
  <c r="AF77" i="1" s="1"/>
  <c r="S77" i="1"/>
  <c r="AI76" i="1"/>
  <c r="AK76" i="1" s="1"/>
  <c r="AG76" i="1"/>
  <c r="AD76" i="1"/>
  <c r="AF76" i="1" s="1"/>
  <c r="AC76" i="1"/>
  <c r="AB76" i="1"/>
  <c r="Z76" i="1"/>
  <c r="Y76" i="1"/>
  <c r="X76" i="1"/>
  <c r="V76" i="1"/>
  <c r="U76" i="1"/>
  <c r="T76" i="1"/>
  <c r="R76" i="1"/>
  <c r="Q76" i="1"/>
  <c r="N76" i="1"/>
  <c r="P76" i="1" s="1"/>
  <c r="M76" i="1"/>
  <c r="J76" i="1"/>
  <c r="L76" i="1" s="1"/>
  <c r="I76" i="1"/>
  <c r="H76" i="1"/>
  <c r="F76" i="1"/>
  <c r="E76" i="1"/>
  <c r="D76" i="1"/>
  <c r="B76" i="1"/>
  <c r="AE75" i="1"/>
  <c r="AD75" i="1"/>
  <c r="AF75" i="1" s="1"/>
  <c r="AA75" i="1"/>
  <c r="Z75" i="1"/>
  <c r="W75" i="1"/>
  <c r="V75" i="1"/>
  <c r="X75" i="1" s="1"/>
  <c r="U75" i="1"/>
  <c r="S75" i="1"/>
  <c r="R75" i="1"/>
  <c r="T75" i="1" s="1"/>
  <c r="O75" i="1"/>
  <c r="N75" i="1"/>
  <c r="K75" i="1"/>
  <c r="J75" i="1"/>
  <c r="L75" i="1" s="1"/>
  <c r="I75" i="1"/>
  <c r="G75" i="1"/>
  <c r="F75" i="1"/>
  <c r="C75" i="1"/>
  <c r="B75" i="1"/>
  <c r="AE74" i="1"/>
  <c r="AG74" i="1" s="1"/>
  <c r="AD74" i="1"/>
  <c r="AF74" i="1" s="1"/>
  <c r="AA74" i="1"/>
  <c r="Z74" i="1"/>
  <c r="W74" i="1"/>
  <c r="V74" i="1"/>
  <c r="U74" i="1"/>
  <c r="S74" i="1"/>
  <c r="R74" i="1"/>
  <c r="T74" i="1" s="1"/>
  <c r="O74" i="1"/>
  <c r="N74" i="1"/>
  <c r="K74" i="1"/>
  <c r="J74" i="1"/>
  <c r="H74" i="1"/>
  <c r="G74" i="1"/>
  <c r="F74" i="1"/>
  <c r="F77" i="1" s="1"/>
  <c r="C74" i="1"/>
  <c r="B74" i="1"/>
  <c r="B77" i="1" s="1"/>
  <c r="AI73" i="1"/>
  <c r="AK73" i="1" s="1"/>
  <c r="AH73" i="1"/>
  <c r="AJ73" i="1" s="1"/>
  <c r="AG73" i="1"/>
  <c r="AF73" i="1"/>
  <c r="AC73" i="1"/>
  <c r="AB73" i="1"/>
  <c r="Y73" i="1"/>
  <c r="X73" i="1"/>
  <c r="U73" i="1"/>
  <c r="T73" i="1"/>
  <c r="Q73" i="1"/>
  <c r="P73" i="1"/>
  <c r="M73" i="1"/>
  <c r="L73" i="1"/>
  <c r="I73" i="1"/>
  <c r="H73" i="1"/>
  <c r="E73" i="1"/>
  <c r="D73" i="1"/>
  <c r="AE72" i="1"/>
  <c r="AG72" i="1" s="1"/>
  <c r="AD72" i="1"/>
  <c r="Z72" i="1"/>
  <c r="W72" i="1"/>
  <c r="Y72" i="1" s="1"/>
  <c r="V72" i="1"/>
  <c r="R72" i="1"/>
  <c r="O72" i="1"/>
  <c r="Q72" i="1" s="1"/>
  <c r="N72" i="1"/>
  <c r="K72" i="1"/>
  <c r="M72" i="1" s="1"/>
  <c r="J72" i="1"/>
  <c r="L72" i="1" s="1"/>
  <c r="G72" i="1"/>
  <c r="F72" i="1"/>
  <c r="H72" i="1" s="1"/>
  <c r="B72" i="1"/>
  <c r="AH71" i="1"/>
  <c r="AE71" i="1"/>
  <c r="AA71" i="1"/>
  <c r="AA72" i="1" s="1"/>
  <c r="Y71" i="1"/>
  <c r="X71" i="1"/>
  <c r="W71" i="1"/>
  <c r="T71" i="1"/>
  <c r="S71" i="1"/>
  <c r="U71" i="1" s="1"/>
  <c r="O71" i="1"/>
  <c r="K71" i="1"/>
  <c r="I71" i="1"/>
  <c r="H71" i="1"/>
  <c r="G71" i="1"/>
  <c r="D71" i="1"/>
  <c r="C71" i="1"/>
  <c r="E71" i="1" s="1"/>
  <c r="AH70" i="1"/>
  <c r="AE70" i="1"/>
  <c r="AC70" i="1"/>
  <c r="AA70" i="1"/>
  <c r="AB70" i="1" s="1"/>
  <c r="Y70" i="1"/>
  <c r="X70" i="1"/>
  <c r="W70" i="1"/>
  <c r="S70" i="1"/>
  <c r="U70" i="1" s="1"/>
  <c r="Q70" i="1"/>
  <c r="P70" i="1"/>
  <c r="O70" i="1"/>
  <c r="M70" i="1"/>
  <c r="K70" i="1"/>
  <c r="L70" i="1" s="1"/>
  <c r="I70" i="1"/>
  <c r="H70" i="1"/>
  <c r="G70" i="1"/>
  <c r="C70" i="1"/>
  <c r="AI69" i="1"/>
  <c r="AK69" i="1" s="1"/>
  <c r="AH69" i="1"/>
  <c r="AJ69" i="1" s="1"/>
  <c r="AG69" i="1"/>
  <c r="AF69" i="1"/>
  <c r="AC69" i="1"/>
  <c r="AB69" i="1"/>
  <c r="Y69" i="1"/>
  <c r="X69" i="1"/>
  <c r="U69" i="1"/>
  <c r="T69" i="1"/>
  <c r="Q69" i="1"/>
  <c r="P69" i="1"/>
  <c r="M69" i="1"/>
  <c r="L69" i="1"/>
  <c r="I69" i="1"/>
  <c r="H69" i="1"/>
  <c r="E69" i="1"/>
  <c r="D69" i="1"/>
  <c r="AA68" i="1"/>
  <c r="R68" i="1"/>
  <c r="O68" i="1"/>
  <c r="K68" i="1"/>
  <c r="M68" i="1" s="1"/>
  <c r="J68" i="1"/>
  <c r="G68" i="1"/>
  <c r="I68" i="1" s="1"/>
  <c r="F68" i="1"/>
  <c r="H68" i="1" s="1"/>
  <c r="AI67" i="1"/>
  <c r="AK67" i="1" s="1"/>
  <c r="AG67" i="1"/>
  <c r="AD67" i="1"/>
  <c r="AD68" i="1" s="1"/>
  <c r="AC67" i="1"/>
  <c r="AB67" i="1"/>
  <c r="Z67" i="1"/>
  <c r="Y67" i="1"/>
  <c r="X67" i="1"/>
  <c r="V67" i="1"/>
  <c r="U67" i="1"/>
  <c r="R67" i="1"/>
  <c r="T67" i="1" s="1"/>
  <c r="Q67" i="1"/>
  <c r="P67" i="1"/>
  <c r="N67" i="1"/>
  <c r="M67" i="1"/>
  <c r="L67" i="1"/>
  <c r="J67" i="1"/>
  <c r="I67" i="1"/>
  <c r="H67" i="1"/>
  <c r="F67" i="1"/>
  <c r="E67" i="1"/>
  <c r="B67" i="1"/>
  <c r="AE66" i="1"/>
  <c r="AG66" i="1" s="1"/>
  <c r="AD66" i="1"/>
  <c r="AA66" i="1"/>
  <c r="Z66" i="1"/>
  <c r="AB66" i="1" s="1"/>
  <c r="W66" i="1"/>
  <c r="Y66" i="1" s="1"/>
  <c r="V66" i="1"/>
  <c r="X66" i="1" s="1"/>
  <c r="S66" i="1"/>
  <c r="R66" i="1"/>
  <c r="T66" i="1" s="1"/>
  <c r="O66" i="1"/>
  <c r="Q66" i="1" s="1"/>
  <c r="N66" i="1"/>
  <c r="M66" i="1"/>
  <c r="K66" i="1"/>
  <c r="J66" i="1"/>
  <c r="L66" i="1" s="1"/>
  <c r="G66" i="1"/>
  <c r="I66" i="1" s="1"/>
  <c r="F66" i="1"/>
  <c r="C66" i="1"/>
  <c r="B66" i="1"/>
  <c r="AI65" i="1"/>
  <c r="AE65" i="1"/>
  <c r="AD65" i="1"/>
  <c r="AA65" i="1"/>
  <c r="Z65" i="1"/>
  <c r="W65" i="1"/>
  <c r="W68" i="1" s="1"/>
  <c r="V65" i="1"/>
  <c r="S65" i="1"/>
  <c r="R65" i="1"/>
  <c r="T65" i="1" s="1"/>
  <c r="O65" i="1"/>
  <c r="N65" i="1"/>
  <c r="M65" i="1"/>
  <c r="K65" i="1"/>
  <c r="J65" i="1"/>
  <c r="L65" i="1" s="1"/>
  <c r="G65" i="1"/>
  <c r="I65" i="1" s="1"/>
  <c r="F65" i="1"/>
  <c r="C65" i="1"/>
  <c r="B65" i="1"/>
  <c r="AI64" i="1"/>
  <c r="AK64" i="1" s="1"/>
  <c r="AH64" i="1"/>
  <c r="AG64" i="1"/>
  <c r="AF64" i="1"/>
  <c r="AC64" i="1"/>
  <c r="AB64" i="1"/>
  <c r="Y64" i="1"/>
  <c r="X64" i="1"/>
  <c r="U64" i="1"/>
  <c r="T64" i="1"/>
  <c r="Q64" i="1"/>
  <c r="P64" i="1"/>
  <c r="M64" i="1"/>
  <c r="L64" i="1"/>
  <c r="I64" i="1"/>
  <c r="H64" i="1"/>
  <c r="E64" i="1"/>
  <c r="D64" i="1"/>
  <c r="AF63" i="1"/>
  <c r="AE63" i="1"/>
  <c r="AD63" i="1"/>
  <c r="W63" i="1"/>
  <c r="Y63" i="1" s="1"/>
  <c r="V63" i="1"/>
  <c r="S63" i="1"/>
  <c r="C63" i="1"/>
  <c r="AI62" i="1"/>
  <c r="AK62" i="1" s="1"/>
  <c r="AG62" i="1"/>
  <c r="AF62" i="1"/>
  <c r="AD62" i="1"/>
  <c r="AC62" i="1"/>
  <c r="Z62" i="1"/>
  <c r="AB62" i="1" s="1"/>
  <c r="Y62" i="1"/>
  <c r="X62" i="1"/>
  <c r="V62" i="1"/>
  <c r="U62" i="1"/>
  <c r="T62" i="1"/>
  <c r="R62" i="1"/>
  <c r="Q62" i="1"/>
  <c r="P62" i="1"/>
  <c r="N62" i="1"/>
  <c r="AH62" i="1" s="1"/>
  <c r="AJ62" i="1" s="1"/>
  <c r="M62" i="1"/>
  <c r="L62" i="1"/>
  <c r="J62" i="1"/>
  <c r="I62" i="1"/>
  <c r="H62" i="1"/>
  <c r="F62" i="1"/>
  <c r="E62" i="1"/>
  <c r="D62" i="1"/>
  <c r="B62" i="1"/>
  <c r="AE61" i="1"/>
  <c r="AG61" i="1" s="1"/>
  <c r="AD61" i="1"/>
  <c r="AF61" i="1" s="1"/>
  <c r="AA61" i="1"/>
  <c r="Z61" i="1"/>
  <c r="AB61" i="1" s="1"/>
  <c r="W61" i="1"/>
  <c r="X61" i="1" s="1"/>
  <c r="V61" i="1"/>
  <c r="S61" i="1"/>
  <c r="U61" i="1" s="1"/>
  <c r="R61" i="1"/>
  <c r="T61" i="1" s="1"/>
  <c r="O61" i="1"/>
  <c r="Q61" i="1" s="1"/>
  <c r="N61" i="1"/>
  <c r="K61" i="1"/>
  <c r="J61" i="1"/>
  <c r="L61" i="1" s="1"/>
  <c r="G61" i="1"/>
  <c r="F61" i="1"/>
  <c r="H61" i="1" s="1"/>
  <c r="C61" i="1"/>
  <c r="B61" i="1"/>
  <c r="AH61" i="1" s="1"/>
  <c r="AE60" i="1"/>
  <c r="AD60" i="1"/>
  <c r="AF60" i="1" s="1"/>
  <c r="AA60" i="1"/>
  <c r="AC60" i="1" s="1"/>
  <c r="Z60" i="1"/>
  <c r="W60" i="1"/>
  <c r="V60" i="1"/>
  <c r="S60" i="1"/>
  <c r="R60" i="1"/>
  <c r="O60" i="1"/>
  <c r="Q60" i="1" s="1"/>
  <c r="N60" i="1"/>
  <c r="K60" i="1"/>
  <c r="J60" i="1"/>
  <c r="G60" i="1"/>
  <c r="F60" i="1"/>
  <c r="H60" i="1" s="1"/>
  <c r="C60" i="1"/>
  <c r="B60" i="1"/>
  <c r="AJ59" i="1"/>
  <c r="AI59" i="1"/>
  <c r="AK59" i="1" s="1"/>
  <c r="AH59" i="1"/>
  <c r="AG59" i="1"/>
  <c r="AF59" i="1"/>
  <c r="AC59" i="1"/>
  <c r="AB59" i="1"/>
  <c r="Y59" i="1"/>
  <c r="X59" i="1"/>
  <c r="U59" i="1"/>
  <c r="T59" i="1"/>
  <c r="Q59" i="1"/>
  <c r="P59" i="1"/>
  <c r="M59" i="1"/>
  <c r="L59" i="1"/>
  <c r="I59" i="1"/>
  <c r="H59" i="1"/>
  <c r="E59" i="1"/>
  <c r="D59" i="1"/>
  <c r="AD58" i="1"/>
  <c r="V58" i="1"/>
  <c r="X58" i="1" s="1"/>
  <c r="R58" i="1"/>
  <c r="O58" i="1"/>
  <c r="AI57" i="1"/>
  <c r="AK57" i="1" s="1"/>
  <c r="AG57" i="1"/>
  <c r="AD57" i="1"/>
  <c r="AF57" i="1" s="1"/>
  <c r="AC57" i="1"/>
  <c r="AB57" i="1"/>
  <c r="Z57" i="1"/>
  <c r="Y57" i="1"/>
  <c r="X57" i="1"/>
  <c r="V57" i="1"/>
  <c r="U57" i="1"/>
  <c r="R57" i="1"/>
  <c r="T57" i="1" s="1"/>
  <c r="Q57" i="1"/>
  <c r="N57" i="1"/>
  <c r="P57" i="1" s="1"/>
  <c r="M57" i="1"/>
  <c r="L57" i="1"/>
  <c r="J57" i="1"/>
  <c r="I57" i="1"/>
  <c r="H57" i="1"/>
  <c r="F57" i="1"/>
  <c r="E57" i="1"/>
  <c r="D57" i="1"/>
  <c r="B57" i="1"/>
  <c r="AE56" i="1"/>
  <c r="AG56" i="1" s="1"/>
  <c r="AD56" i="1"/>
  <c r="AA56" i="1"/>
  <c r="Z56" i="1"/>
  <c r="AB56" i="1" s="1"/>
  <c r="Y56" i="1"/>
  <c r="X56" i="1"/>
  <c r="W56" i="1"/>
  <c r="V56" i="1"/>
  <c r="S56" i="1"/>
  <c r="U56" i="1" s="1"/>
  <c r="R56" i="1"/>
  <c r="O56" i="1"/>
  <c r="N56" i="1"/>
  <c r="P56" i="1" s="1"/>
  <c r="K56" i="1"/>
  <c r="M56" i="1" s="1"/>
  <c r="J56" i="1"/>
  <c r="L56" i="1" s="1"/>
  <c r="G56" i="1"/>
  <c r="I56" i="1" s="1"/>
  <c r="F56" i="1"/>
  <c r="C56" i="1"/>
  <c r="B56" i="1"/>
  <c r="AE55" i="1"/>
  <c r="AD55" i="1"/>
  <c r="AF55" i="1" s="1"/>
  <c r="AA55" i="1"/>
  <c r="Z55" i="1"/>
  <c r="Y55" i="1"/>
  <c r="X55" i="1"/>
  <c r="W55" i="1"/>
  <c r="W58" i="1" s="1"/>
  <c r="V55" i="1"/>
  <c r="S55" i="1"/>
  <c r="R55" i="1"/>
  <c r="O55" i="1"/>
  <c r="N55" i="1"/>
  <c r="K55" i="1"/>
  <c r="K58" i="1" s="1"/>
  <c r="J55" i="1"/>
  <c r="G55" i="1"/>
  <c r="F55" i="1"/>
  <c r="H55" i="1" s="1"/>
  <c r="C55" i="1"/>
  <c r="B55" i="1"/>
  <c r="AK54" i="1"/>
  <c r="AI54" i="1"/>
  <c r="AH54" i="1"/>
  <c r="AJ54" i="1" s="1"/>
  <c r="AG54" i="1"/>
  <c r="AF54" i="1"/>
  <c r="AC54" i="1"/>
  <c r="AB54" i="1"/>
  <c r="Y54" i="1"/>
  <c r="X54" i="1"/>
  <c r="U54" i="1"/>
  <c r="T54" i="1"/>
  <c r="Q54" i="1"/>
  <c r="P54" i="1"/>
  <c r="M54" i="1"/>
  <c r="L54" i="1"/>
  <c r="I54" i="1"/>
  <c r="H54" i="1"/>
  <c r="E54" i="1"/>
  <c r="D54" i="1"/>
  <c r="S53" i="1"/>
  <c r="R53" i="1"/>
  <c r="T53" i="1" s="1"/>
  <c r="F53" i="1"/>
  <c r="AI52" i="1"/>
  <c r="AK52" i="1" s="1"/>
  <c r="AG52" i="1"/>
  <c r="AD52" i="1"/>
  <c r="AD53" i="1" s="1"/>
  <c r="AC52" i="1"/>
  <c r="Z52" i="1"/>
  <c r="AB52" i="1" s="1"/>
  <c r="Y52" i="1"/>
  <c r="X52" i="1"/>
  <c r="V52" i="1"/>
  <c r="U52" i="1"/>
  <c r="R52" i="1"/>
  <c r="T52" i="1" s="1"/>
  <c r="Q52" i="1"/>
  <c r="P52" i="1"/>
  <c r="N52" i="1"/>
  <c r="M52" i="1"/>
  <c r="J52" i="1"/>
  <c r="L52" i="1" s="1"/>
  <c r="I52" i="1"/>
  <c r="H52" i="1"/>
  <c r="F52" i="1"/>
  <c r="E52" i="1"/>
  <c r="D52" i="1"/>
  <c r="B52" i="1"/>
  <c r="AE51" i="1"/>
  <c r="AG51" i="1" s="1"/>
  <c r="AD51" i="1"/>
  <c r="AA51" i="1"/>
  <c r="AC51" i="1" s="1"/>
  <c r="Z51" i="1"/>
  <c r="W51" i="1"/>
  <c r="V51" i="1"/>
  <c r="S51" i="1"/>
  <c r="U51" i="1" s="1"/>
  <c r="R51" i="1"/>
  <c r="T51" i="1" s="1"/>
  <c r="O51" i="1"/>
  <c r="O53" i="1" s="1"/>
  <c r="N51" i="1"/>
  <c r="P51" i="1" s="1"/>
  <c r="K51" i="1"/>
  <c r="AI51" i="1" s="1"/>
  <c r="J51" i="1"/>
  <c r="L51" i="1" s="1"/>
  <c r="G51" i="1"/>
  <c r="I51" i="1" s="1"/>
  <c r="F51" i="1"/>
  <c r="H51" i="1" s="1"/>
  <c r="C51" i="1"/>
  <c r="E51" i="1" s="1"/>
  <c r="B51" i="1"/>
  <c r="AE50" i="1"/>
  <c r="AG50" i="1" s="1"/>
  <c r="AD50" i="1"/>
  <c r="AA50" i="1"/>
  <c r="Z50" i="1"/>
  <c r="W50" i="1"/>
  <c r="W53" i="1" s="1"/>
  <c r="V50" i="1"/>
  <c r="V53" i="1" s="1"/>
  <c r="X53" i="1" s="1"/>
  <c r="S50" i="1"/>
  <c r="U50" i="1" s="1"/>
  <c r="R50" i="1"/>
  <c r="T50" i="1" s="1"/>
  <c r="O50" i="1"/>
  <c r="Q50" i="1" s="1"/>
  <c r="N50" i="1"/>
  <c r="AH50" i="1" s="1"/>
  <c r="K50" i="1"/>
  <c r="L50" i="1" s="1"/>
  <c r="J50" i="1"/>
  <c r="G50" i="1"/>
  <c r="I50" i="1" s="1"/>
  <c r="F50" i="1"/>
  <c r="H50" i="1" s="1"/>
  <c r="C50" i="1"/>
  <c r="B50" i="1"/>
  <c r="B53" i="1" s="1"/>
  <c r="AJ49" i="1"/>
  <c r="AI49" i="1"/>
  <c r="AK49" i="1" s="1"/>
  <c r="AH49" i="1"/>
  <c r="AG49" i="1"/>
  <c r="AF49" i="1"/>
  <c r="AC49" i="1"/>
  <c r="AB49" i="1"/>
  <c r="Y49" i="1"/>
  <c r="X49" i="1"/>
  <c r="U49" i="1"/>
  <c r="T49" i="1"/>
  <c r="Q49" i="1"/>
  <c r="P49" i="1"/>
  <c r="M49" i="1"/>
  <c r="L49" i="1"/>
  <c r="I49" i="1"/>
  <c r="H49" i="1"/>
  <c r="E49" i="1"/>
  <c r="D49" i="1"/>
  <c r="AE48" i="1"/>
  <c r="AD48" i="1"/>
  <c r="AF48" i="1" s="1"/>
  <c r="R48" i="1"/>
  <c r="J48" i="1"/>
  <c r="G48" i="1"/>
  <c r="I48" i="1" s="1"/>
  <c r="F48" i="1"/>
  <c r="AI47" i="1"/>
  <c r="AK47" i="1" s="1"/>
  <c r="AG47" i="1"/>
  <c r="AF47" i="1"/>
  <c r="AD47" i="1"/>
  <c r="AC47" i="1"/>
  <c r="Z47" i="1"/>
  <c r="AB47" i="1" s="1"/>
  <c r="Y47" i="1"/>
  <c r="X47" i="1"/>
  <c r="V47" i="1"/>
  <c r="U47" i="1"/>
  <c r="T47" i="1"/>
  <c r="R47" i="1"/>
  <c r="Q47" i="1"/>
  <c r="N47" i="1"/>
  <c r="P47" i="1" s="1"/>
  <c r="M47" i="1"/>
  <c r="J47" i="1"/>
  <c r="L47" i="1" s="1"/>
  <c r="I47" i="1"/>
  <c r="H47" i="1"/>
  <c r="F47" i="1"/>
  <c r="E47" i="1"/>
  <c r="B47" i="1"/>
  <c r="AH46" i="1"/>
  <c r="AE46" i="1"/>
  <c r="AG46" i="1" s="1"/>
  <c r="AD46" i="1"/>
  <c r="AF46" i="1" s="1"/>
  <c r="AA46" i="1"/>
  <c r="Z46" i="1"/>
  <c r="W46" i="1"/>
  <c r="Y46" i="1" s="1"/>
  <c r="V46" i="1"/>
  <c r="S46" i="1"/>
  <c r="U46" i="1" s="1"/>
  <c r="R46" i="1"/>
  <c r="O46" i="1"/>
  <c r="N46" i="1"/>
  <c r="P46" i="1" s="1"/>
  <c r="K46" i="1"/>
  <c r="M46" i="1" s="1"/>
  <c r="J46" i="1"/>
  <c r="G46" i="1"/>
  <c r="I46" i="1" s="1"/>
  <c r="F46" i="1"/>
  <c r="H46" i="1" s="1"/>
  <c r="C46" i="1"/>
  <c r="E46" i="1" s="1"/>
  <c r="B46" i="1"/>
  <c r="D46" i="1" s="1"/>
  <c r="AE45" i="1"/>
  <c r="AG45" i="1" s="1"/>
  <c r="AD45" i="1"/>
  <c r="AF45" i="1" s="1"/>
  <c r="AA45" i="1"/>
  <c r="Z45" i="1"/>
  <c r="W45" i="1"/>
  <c r="V45" i="1"/>
  <c r="S45" i="1"/>
  <c r="R45" i="1"/>
  <c r="T45" i="1" s="1"/>
  <c r="O45" i="1"/>
  <c r="N45" i="1"/>
  <c r="K45" i="1"/>
  <c r="K48" i="1" s="1"/>
  <c r="M48" i="1" s="1"/>
  <c r="J45" i="1"/>
  <c r="G45" i="1"/>
  <c r="I45" i="1" s="1"/>
  <c r="F45" i="1"/>
  <c r="C45" i="1"/>
  <c r="AI45" i="1" s="1"/>
  <c r="B45" i="1"/>
  <c r="AJ44" i="1"/>
  <c r="AI44" i="1"/>
  <c r="AK44" i="1" s="1"/>
  <c r="AH44" i="1"/>
  <c r="AG44" i="1"/>
  <c r="AF44" i="1"/>
  <c r="AC44" i="1"/>
  <c r="AB44" i="1"/>
  <c r="Y44" i="1"/>
  <c r="X44" i="1"/>
  <c r="U44" i="1"/>
  <c r="T44" i="1"/>
  <c r="Q44" i="1"/>
  <c r="P44" i="1"/>
  <c r="M44" i="1"/>
  <c r="L44" i="1"/>
  <c r="I44" i="1"/>
  <c r="H44" i="1"/>
  <c r="E44" i="1"/>
  <c r="D44" i="1"/>
  <c r="AE43" i="1"/>
  <c r="AG43" i="1" s="1"/>
  <c r="AD43" i="1"/>
  <c r="AF43" i="1" s="1"/>
  <c r="W43" i="1"/>
  <c r="Y43" i="1" s="1"/>
  <c r="K43" i="1"/>
  <c r="AI42" i="1"/>
  <c r="AK42" i="1" s="1"/>
  <c r="AG42" i="1"/>
  <c r="AD42" i="1"/>
  <c r="AF42" i="1" s="1"/>
  <c r="AC42" i="1"/>
  <c r="Z42" i="1"/>
  <c r="AB42" i="1" s="1"/>
  <c r="Y42" i="1"/>
  <c r="X42" i="1"/>
  <c r="V42" i="1"/>
  <c r="U42" i="1"/>
  <c r="R42" i="1"/>
  <c r="T42" i="1" s="1"/>
  <c r="Q42" i="1"/>
  <c r="P42" i="1"/>
  <c r="N42" i="1"/>
  <c r="M42" i="1"/>
  <c r="J42" i="1"/>
  <c r="L42" i="1" s="1"/>
  <c r="I42" i="1"/>
  <c r="H42" i="1"/>
  <c r="F42" i="1"/>
  <c r="E42" i="1"/>
  <c r="D42" i="1"/>
  <c r="B42" i="1"/>
  <c r="AE41" i="1"/>
  <c r="AG41" i="1" s="1"/>
  <c r="AD41" i="1"/>
  <c r="AF41" i="1" s="1"/>
  <c r="AA41" i="1"/>
  <c r="Z41" i="1"/>
  <c r="AB41" i="1" s="1"/>
  <c r="W41" i="1"/>
  <c r="Y41" i="1" s="1"/>
  <c r="V41" i="1"/>
  <c r="X41" i="1" s="1"/>
  <c r="S41" i="1"/>
  <c r="U41" i="1" s="1"/>
  <c r="R41" i="1"/>
  <c r="O41" i="1"/>
  <c r="Q41" i="1" s="1"/>
  <c r="N41" i="1"/>
  <c r="K41" i="1"/>
  <c r="J41" i="1"/>
  <c r="G41" i="1"/>
  <c r="I41" i="1" s="1"/>
  <c r="F41" i="1"/>
  <c r="C41" i="1"/>
  <c r="AI41" i="1" s="1"/>
  <c r="B41" i="1"/>
  <c r="AE40" i="1"/>
  <c r="AG40" i="1" s="1"/>
  <c r="AD40" i="1"/>
  <c r="AF40" i="1" s="1"/>
  <c r="AA40" i="1"/>
  <c r="AC40" i="1" s="1"/>
  <c r="Z40" i="1"/>
  <c r="W40" i="1"/>
  <c r="X40" i="1" s="1"/>
  <c r="V40" i="1"/>
  <c r="V43" i="1" s="1"/>
  <c r="S40" i="1"/>
  <c r="R40" i="1"/>
  <c r="O40" i="1"/>
  <c r="N40" i="1"/>
  <c r="K40" i="1"/>
  <c r="J40" i="1"/>
  <c r="L40" i="1" s="1"/>
  <c r="G40" i="1"/>
  <c r="I40" i="1" s="1"/>
  <c r="F40" i="1"/>
  <c r="C40" i="1"/>
  <c r="B40" i="1"/>
  <c r="AI39" i="1"/>
  <c r="AH39" i="1"/>
  <c r="AG39" i="1"/>
  <c r="AF39" i="1"/>
  <c r="AC39" i="1"/>
  <c r="AB39" i="1"/>
  <c r="Y39" i="1"/>
  <c r="X39" i="1"/>
  <c r="U39" i="1"/>
  <c r="T39" i="1"/>
  <c r="Q39" i="1"/>
  <c r="P39" i="1"/>
  <c r="M39" i="1"/>
  <c r="L39" i="1"/>
  <c r="I39" i="1"/>
  <c r="H39" i="1"/>
  <c r="E39" i="1"/>
  <c r="D39" i="1"/>
  <c r="S38" i="1"/>
  <c r="U38" i="1" s="1"/>
  <c r="R38" i="1"/>
  <c r="T38" i="1" s="1"/>
  <c r="B38" i="1"/>
  <c r="AI37" i="1"/>
  <c r="AK37" i="1" s="1"/>
  <c r="AG37" i="1"/>
  <c r="AD37" i="1"/>
  <c r="AF37" i="1" s="1"/>
  <c r="AC37" i="1"/>
  <c r="Z37" i="1"/>
  <c r="AB37" i="1" s="1"/>
  <c r="Y37" i="1"/>
  <c r="X37" i="1"/>
  <c r="V37" i="1"/>
  <c r="U37" i="1"/>
  <c r="T37" i="1"/>
  <c r="R37" i="1"/>
  <c r="Q37" i="1"/>
  <c r="P37" i="1"/>
  <c r="N37" i="1"/>
  <c r="M37" i="1"/>
  <c r="J37" i="1"/>
  <c r="L37" i="1" s="1"/>
  <c r="I37" i="1"/>
  <c r="H37" i="1"/>
  <c r="F37" i="1"/>
  <c r="E37" i="1"/>
  <c r="B37" i="1"/>
  <c r="AH37" i="1" s="1"/>
  <c r="AJ37" i="1" s="1"/>
  <c r="AE36" i="1"/>
  <c r="AD36" i="1"/>
  <c r="AA36" i="1"/>
  <c r="AC36" i="1" s="1"/>
  <c r="Z36" i="1"/>
  <c r="Y36" i="1"/>
  <c r="X36" i="1"/>
  <c r="W36" i="1"/>
  <c r="V36" i="1"/>
  <c r="U36" i="1"/>
  <c r="S36" i="1"/>
  <c r="R36" i="1"/>
  <c r="O36" i="1"/>
  <c r="Q36" i="1" s="1"/>
  <c r="N36" i="1"/>
  <c r="K36" i="1"/>
  <c r="AI36" i="1" s="1"/>
  <c r="J36" i="1"/>
  <c r="G36" i="1"/>
  <c r="F36" i="1"/>
  <c r="H36" i="1" s="1"/>
  <c r="D36" i="1"/>
  <c r="C36" i="1"/>
  <c r="E36" i="1" s="1"/>
  <c r="B36" i="1"/>
  <c r="AE35" i="1"/>
  <c r="AE38" i="1" s="1"/>
  <c r="AD35" i="1"/>
  <c r="AA35" i="1"/>
  <c r="Z35" i="1"/>
  <c r="AB35" i="1" s="1"/>
  <c r="W35" i="1"/>
  <c r="W38" i="1" s="1"/>
  <c r="V35" i="1"/>
  <c r="S35" i="1"/>
  <c r="R35" i="1"/>
  <c r="T35" i="1" s="1"/>
  <c r="P35" i="1"/>
  <c r="O35" i="1"/>
  <c r="N35" i="1"/>
  <c r="N38" i="1" s="1"/>
  <c r="M35" i="1"/>
  <c r="L35" i="1"/>
  <c r="K35" i="1"/>
  <c r="K38" i="1" s="1"/>
  <c r="J35" i="1"/>
  <c r="G35" i="1"/>
  <c r="F35" i="1"/>
  <c r="C35" i="1"/>
  <c r="AI35" i="1" s="1"/>
  <c r="B35" i="1"/>
  <c r="AI34" i="1"/>
  <c r="AK34" i="1" s="1"/>
  <c r="AH34" i="1"/>
  <c r="AG34" i="1"/>
  <c r="AF34" i="1"/>
  <c r="AC34" i="1"/>
  <c r="AB34" i="1"/>
  <c r="Y34" i="1"/>
  <c r="X34" i="1"/>
  <c r="U34" i="1"/>
  <c r="T34" i="1"/>
  <c r="Q34" i="1"/>
  <c r="P34" i="1"/>
  <c r="M34" i="1"/>
  <c r="L34" i="1"/>
  <c r="I34" i="1"/>
  <c r="H34" i="1"/>
  <c r="E34" i="1"/>
  <c r="D34" i="1"/>
  <c r="W33" i="1"/>
  <c r="J33" i="1"/>
  <c r="F33" i="1"/>
  <c r="AI32" i="1"/>
  <c r="AK32" i="1" s="1"/>
  <c r="AG32" i="1"/>
  <c r="AF32" i="1"/>
  <c r="AD32" i="1"/>
  <c r="AC32" i="1"/>
  <c r="AB32" i="1"/>
  <c r="Z32" i="1"/>
  <c r="Y32" i="1"/>
  <c r="X32" i="1"/>
  <c r="V32" i="1"/>
  <c r="U32" i="1"/>
  <c r="T32" i="1"/>
  <c r="R32" i="1"/>
  <c r="Q32" i="1"/>
  <c r="P32" i="1"/>
  <c r="N32" i="1"/>
  <c r="N33" i="1" s="1"/>
  <c r="M32" i="1"/>
  <c r="L32" i="1"/>
  <c r="J32" i="1"/>
  <c r="I32" i="1"/>
  <c r="H32" i="1"/>
  <c r="F32" i="1"/>
  <c r="E32" i="1"/>
  <c r="D32" i="1"/>
  <c r="B32" i="1"/>
  <c r="B33" i="1" s="1"/>
  <c r="AE31" i="1"/>
  <c r="AD31" i="1"/>
  <c r="AF31" i="1" s="1"/>
  <c r="AA31" i="1"/>
  <c r="Z31" i="1"/>
  <c r="AB31" i="1" s="1"/>
  <c r="W31" i="1"/>
  <c r="V31" i="1"/>
  <c r="S31" i="1"/>
  <c r="U31" i="1" s="1"/>
  <c r="R31" i="1"/>
  <c r="P31" i="1"/>
  <c r="O31" i="1"/>
  <c r="Q31" i="1" s="1"/>
  <c r="N31" i="1"/>
  <c r="K31" i="1"/>
  <c r="I31" i="1"/>
  <c r="H31" i="1"/>
  <c r="G31" i="1"/>
  <c r="E31" i="1"/>
  <c r="D31" i="1"/>
  <c r="C31" i="1"/>
  <c r="AG30" i="1"/>
  <c r="AF30" i="1"/>
  <c r="AE30" i="1"/>
  <c r="AE33" i="1" s="1"/>
  <c r="AD30" i="1"/>
  <c r="AA30" i="1"/>
  <c r="AA33" i="1" s="1"/>
  <c r="Z30" i="1"/>
  <c r="Z33" i="1" s="1"/>
  <c r="AB33" i="1" s="1"/>
  <c r="Y30" i="1"/>
  <c r="X30" i="1"/>
  <c r="W30" i="1"/>
  <c r="V30" i="1"/>
  <c r="U30" i="1"/>
  <c r="T30" i="1"/>
  <c r="S30" i="1"/>
  <c r="R30" i="1"/>
  <c r="R33" i="1" s="1"/>
  <c r="O30" i="1"/>
  <c r="O33" i="1" s="1"/>
  <c r="Q33" i="1" s="1"/>
  <c r="N30" i="1"/>
  <c r="AH30" i="1" s="1"/>
  <c r="M30" i="1"/>
  <c r="L30" i="1"/>
  <c r="K30" i="1"/>
  <c r="H30" i="1"/>
  <c r="G30" i="1"/>
  <c r="C30" i="1"/>
  <c r="AK29" i="1"/>
  <c r="AI29" i="1"/>
  <c r="AH29" i="1"/>
  <c r="AJ29" i="1" s="1"/>
  <c r="AG29" i="1"/>
  <c r="AF29" i="1"/>
  <c r="AC29" i="1"/>
  <c r="AB29" i="1"/>
  <c r="Y29" i="1"/>
  <c r="X29" i="1"/>
  <c r="U29" i="1"/>
  <c r="T29" i="1"/>
  <c r="Q29" i="1"/>
  <c r="P29" i="1"/>
  <c r="M29" i="1"/>
  <c r="L29" i="1"/>
  <c r="I29" i="1"/>
  <c r="H29" i="1"/>
  <c r="E29" i="1"/>
  <c r="D29" i="1"/>
  <c r="AE28" i="1"/>
  <c r="V28" i="1"/>
  <c r="S28" i="1"/>
  <c r="J28" i="1"/>
  <c r="L28" i="1" s="1"/>
  <c r="G28" i="1"/>
  <c r="F28" i="1"/>
  <c r="AK27" i="1"/>
  <c r="AI27" i="1"/>
  <c r="AG27" i="1"/>
  <c r="AF27" i="1"/>
  <c r="AD27" i="1"/>
  <c r="AC27" i="1"/>
  <c r="AB27" i="1"/>
  <c r="Z27" i="1"/>
  <c r="Y27" i="1"/>
  <c r="V27" i="1"/>
  <c r="X27" i="1" s="1"/>
  <c r="U27" i="1"/>
  <c r="R27" i="1"/>
  <c r="T27" i="1" s="1"/>
  <c r="Q27" i="1"/>
  <c r="P27" i="1"/>
  <c r="N27" i="1"/>
  <c r="M27" i="1"/>
  <c r="L27" i="1"/>
  <c r="J27" i="1"/>
  <c r="I27" i="1"/>
  <c r="H27" i="1"/>
  <c r="F27" i="1"/>
  <c r="E27" i="1"/>
  <c r="B27" i="1"/>
  <c r="D27" i="1" s="1"/>
  <c r="AE26" i="1"/>
  <c r="AD26" i="1"/>
  <c r="AF26" i="1" s="1"/>
  <c r="AA26" i="1"/>
  <c r="Z26" i="1"/>
  <c r="W26" i="1"/>
  <c r="V26" i="1"/>
  <c r="Y26" i="1" s="1"/>
  <c r="S26" i="1"/>
  <c r="R26" i="1"/>
  <c r="T26" i="1" s="1"/>
  <c r="O26" i="1"/>
  <c r="N26" i="1"/>
  <c r="P26" i="1" s="1"/>
  <c r="M26" i="1"/>
  <c r="L26" i="1"/>
  <c r="K26" i="1"/>
  <c r="AI26" i="1" s="1"/>
  <c r="J26" i="1"/>
  <c r="I26" i="1"/>
  <c r="G26" i="1"/>
  <c r="F26" i="1"/>
  <c r="H26" i="1" s="1"/>
  <c r="C26" i="1"/>
  <c r="B26" i="1"/>
  <c r="D26" i="1" s="1"/>
  <c r="AG25" i="1"/>
  <c r="AE25" i="1"/>
  <c r="AD25" i="1"/>
  <c r="AF25" i="1" s="1"/>
  <c r="AC25" i="1"/>
  <c r="AA25" i="1"/>
  <c r="AA28" i="1" s="1"/>
  <c r="Z25" i="1"/>
  <c r="AB25" i="1" s="1"/>
  <c r="W25" i="1"/>
  <c r="W28" i="1" s="1"/>
  <c r="V25" i="1"/>
  <c r="Y25" i="1" s="1"/>
  <c r="S25" i="1"/>
  <c r="R25" i="1"/>
  <c r="O25" i="1"/>
  <c r="O28" i="1" s="1"/>
  <c r="N25" i="1"/>
  <c r="P25" i="1" s="1"/>
  <c r="M25" i="1"/>
  <c r="K25" i="1"/>
  <c r="K28" i="1" s="1"/>
  <c r="J25" i="1"/>
  <c r="L25" i="1" s="1"/>
  <c r="G25" i="1"/>
  <c r="F25" i="1"/>
  <c r="H25" i="1" s="1"/>
  <c r="E25" i="1"/>
  <c r="C25" i="1"/>
  <c r="C28" i="1" s="1"/>
  <c r="B25" i="1"/>
  <c r="D25" i="1" s="1"/>
  <c r="AK24" i="1"/>
  <c r="AJ24" i="1"/>
  <c r="AI24" i="1"/>
  <c r="AH24" i="1"/>
  <c r="AG24" i="1"/>
  <c r="AF24" i="1"/>
  <c r="AC24" i="1"/>
  <c r="AB24" i="1"/>
  <c r="Y24" i="1"/>
  <c r="X24" i="1"/>
  <c r="U24" i="1"/>
  <c r="T24" i="1"/>
  <c r="Q24" i="1"/>
  <c r="P24" i="1"/>
  <c r="M24" i="1"/>
  <c r="L24" i="1"/>
  <c r="I24" i="1"/>
  <c r="H24" i="1"/>
  <c r="E24" i="1"/>
  <c r="D24" i="1"/>
  <c r="AE23" i="1"/>
  <c r="S23" i="1"/>
  <c r="G23" i="1"/>
  <c r="AK22" i="1"/>
  <c r="AI22" i="1"/>
  <c r="AH22" i="1"/>
  <c r="AJ22" i="1" s="1"/>
  <c r="AG22" i="1"/>
  <c r="AF22" i="1"/>
  <c r="AD22" i="1"/>
  <c r="AC22" i="1"/>
  <c r="AB22" i="1"/>
  <c r="Z22" i="1"/>
  <c r="Y22" i="1"/>
  <c r="V22" i="1"/>
  <c r="X22" i="1" s="1"/>
  <c r="U22" i="1"/>
  <c r="R22" i="1"/>
  <c r="T22" i="1" s="1"/>
  <c r="Q22" i="1"/>
  <c r="P22" i="1"/>
  <c r="N22" i="1"/>
  <c r="M22" i="1"/>
  <c r="L22" i="1"/>
  <c r="J22" i="1"/>
  <c r="I22" i="1"/>
  <c r="F22" i="1"/>
  <c r="H22" i="1" s="1"/>
  <c r="E22" i="1"/>
  <c r="B22" i="1"/>
  <c r="D22" i="1" s="1"/>
  <c r="AE21" i="1"/>
  <c r="AD21" i="1"/>
  <c r="AF21" i="1" s="1"/>
  <c r="AA21" i="1"/>
  <c r="Z21" i="1"/>
  <c r="AB21" i="1" s="1"/>
  <c r="W21" i="1"/>
  <c r="V21" i="1"/>
  <c r="X21" i="1" s="1"/>
  <c r="U21" i="1"/>
  <c r="S21" i="1"/>
  <c r="R21" i="1"/>
  <c r="T21" i="1" s="1"/>
  <c r="Q21" i="1"/>
  <c r="O21" i="1"/>
  <c r="N21" i="1"/>
  <c r="P21" i="1" s="1"/>
  <c r="K21" i="1"/>
  <c r="AI21" i="1" s="1"/>
  <c r="J21" i="1"/>
  <c r="M21" i="1" s="1"/>
  <c r="G21" i="1"/>
  <c r="F21" i="1"/>
  <c r="C21" i="1"/>
  <c r="B21" i="1"/>
  <c r="D21" i="1" s="1"/>
  <c r="AE20" i="1"/>
  <c r="AD20" i="1"/>
  <c r="AF20" i="1" s="1"/>
  <c r="AA20" i="1"/>
  <c r="AA23" i="1" s="1"/>
  <c r="Z20" i="1"/>
  <c r="W20" i="1"/>
  <c r="W23" i="1" s="1"/>
  <c r="V20" i="1"/>
  <c r="Y20" i="1" s="1"/>
  <c r="S20" i="1"/>
  <c r="R20" i="1"/>
  <c r="T20" i="1" s="1"/>
  <c r="O20" i="1"/>
  <c r="O23" i="1" s="1"/>
  <c r="N20" i="1"/>
  <c r="P20" i="1" s="1"/>
  <c r="M20" i="1"/>
  <c r="L20" i="1"/>
  <c r="K20" i="1"/>
  <c r="K23" i="1" s="1"/>
  <c r="J20" i="1"/>
  <c r="J23" i="1" s="1"/>
  <c r="I20" i="1"/>
  <c r="G20" i="1"/>
  <c r="F20" i="1"/>
  <c r="H20" i="1" s="1"/>
  <c r="C20" i="1"/>
  <c r="C23" i="1" s="1"/>
  <c r="B20" i="1"/>
  <c r="D20" i="1" s="1"/>
  <c r="AK19" i="1"/>
  <c r="AI19" i="1"/>
  <c r="AH19" i="1"/>
  <c r="AJ19" i="1" s="1"/>
  <c r="AG19" i="1"/>
  <c r="AF19" i="1"/>
  <c r="AC19" i="1"/>
  <c r="AB19" i="1"/>
  <c r="Y19" i="1"/>
  <c r="X19" i="1"/>
  <c r="U19" i="1"/>
  <c r="T19" i="1"/>
  <c r="Q19" i="1"/>
  <c r="P19" i="1"/>
  <c r="M19" i="1"/>
  <c r="L19" i="1"/>
  <c r="I19" i="1"/>
  <c r="H19" i="1"/>
  <c r="E19" i="1"/>
  <c r="D19" i="1"/>
  <c r="AE18" i="1"/>
  <c r="Z18" i="1"/>
  <c r="S18" i="1"/>
  <c r="G18" i="1"/>
  <c r="AK17" i="1"/>
  <c r="AI17" i="1"/>
  <c r="AG17" i="1"/>
  <c r="AD17" i="1"/>
  <c r="AF17" i="1" s="1"/>
  <c r="AC17" i="1"/>
  <c r="AB17" i="1"/>
  <c r="Z17" i="1"/>
  <c r="Y17" i="1"/>
  <c r="V17" i="1"/>
  <c r="X17" i="1" s="1"/>
  <c r="U17" i="1"/>
  <c r="R17" i="1"/>
  <c r="T17" i="1" s="1"/>
  <c r="Q17" i="1"/>
  <c r="N17" i="1"/>
  <c r="P17" i="1" s="1"/>
  <c r="M17" i="1"/>
  <c r="L17" i="1"/>
  <c r="J17" i="1"/>
  <c r="I17" i="1"/>
  <c r="H17" i="1"/>
  <c r="F17" i="1"/>
  <c r="E17" i="1"/>
  <c r="B17" i="1"/>
  <c r="D17" i="1" s="1"/>
  <c r="AI16" i="1"/>
  <c r="AE16" i="1"/>
  <c r="AD16" i="1"/>
  <c r="AA16" i="1"/>
  <c r="Z16" i="1"/>
  <c r="AB16" i="1" s="1"/>
  <c r="Y16" i="1"/>
  <c r="W16" i="1"/>
  <c r="V16" i="1"/>
  <c r="V18" i="1" s="1"/>
  <c r="S16" i="1"/>
  <c r="R16" i="1"/>
  <c r="T16" i="1" s="1"/>
  <c r="Q16" i="1"/>
  <c r="O16" i="1"/>
  <c r="N16" i="1"/>
  <c r="P16" i="1" s="1"/>
  <c r="K16" i="1"/>
  <c r="M16" i="1" s="1"/>
  <c r="J16" i="1"/>
  <c r="G16" i="1"/>
  <c r="F16" i="1"/>
  <c r="H16" i="1" s="1"/>
  <c r="C16" i="1"/>
  <c r="B16" i="1"/>
  <c r="D16" i="1" s="1"/>
  <c r="AG15" i="1"/>
  <c r="AE15" i="1"/>
  <c r="AD15" i="1"/>
  <c r="AF15" i="1" s="1"/>
  <c r="AA15" i="1"/>
  <c r="AA18" i="1" s="1"/>
  <c r="Z15" i="1"/>
  <c r="AB15" i="1" s="1"/>
  <c r="W15" i="1"/>
  <c r="V15" i="1"/>
  <c r="S15" i="1"/>
  <c r="R15" i="1"/>
  <c r="T15" i="1" s="1"/>
  <c r="O15" i="1"/>
  <c r="O18" i="1" s="1"/>
  <c r="N15" i="1"/>
  <c r="P15" i="1" s="1"/>
  <c r="K15" i="1"/>
  <c r="K18" i="1" s="1"/>
  <c r="J15" i="1"/>
  <c r="J18" i="1" s="1"/>
  <c r="I15" i="1"/>
  <c r="G15" i="1"/>
  <c r="F15" i="1"/>
  <c r="H15" i="1" s="1"/>
  <c r="E15" i="1"/>
  <c r="C15" i="1"/>
  <c r="C18" i="1" s="1"/>
  <c r="B15" i="1"/>
  <c r="D15" i="1" s="1"/>
  <c r="AI14" i="1"/>
  <c r="AK14" i="1" s="1"/>
  <c r="AH14" i="1"/>
  <c r="AJ14" i="1" s="1"/>
  <c r="AG14" i="1"/>
  <c r="AF14" i="1"/>
  <c r="AC14" i="1"/>
  <c r="AB14" i="1"/>
  <c r="Y14" i="1"/>
  <c r="X14" i="1"/>
  <c r="U14" i="1"/>
  <c r="T14" i="1"/>
  <c r="Q14" i="1"/>
  <c r="P14" i="1"/>
  <c r="M14" i="1"/>
  <c r="L14" i="1"/>
  <c r="I14" i="1"/>
  <c r="H14" i="1"/>
  <c r="E14" i="1"/>
  <c r="D14" i="1"/>
  <c r="V11" i="1"/>
  <c r="X11" i="1" s="1"/>
  <c r="E11" i="1"/>
  <c r="AK10" i="1"/>
  <c r="AI10" i="1"/>
  <c r="AG10" i="1"/>
  <c r="AD10" i="1"/>
  <c r="AF10" i="1" s="1"/>
  <c r="AC10" i="1"/>
  <c r="AB10" i="1"/>
  <c r="Z10" i="1"/>
  <c r="Y10" i="1"/>
  <c r="X10" i="1"/>
  <c r="V10" i="1"/>
  <c r="U10" i="1"/>
  <c r="R10" i="1"/>
  <c r="T10" i="1" s="1"/>
  <c r="Q10" i="1"/>
  <c r="P10" i="1"/>
  <c r="N10" i="1"/>
  <c r="M10" i="1"/>
  <c r="L10" i="1"/>
  <c r="J10" i="1"/>
  <c r="I10" i="1"/>
  <c r="F10" i="1"/>
  <c r="E10" i="1"/>
  <c r="B10" i="1"/>
  <c r="D10" i="1" s="1"/>
  <c r="AE9" i="1"/>
  <c r="AD9" i="1"/>
  <c r="AF9" i="1" s="1"/>
  <c r="AA9" i="1"/>
  <c r="Z9" i="1"/>
  <c r="W9" i="1"/>
  <c r="Y9" i="1" s="1"/>
  <c r="V9" i="1"/>
  <c r="X9" i="1" s="1"/>
  <c r="S9" i="1"/>
  <c r="R9" i="1"/>
  <c r="T9" i="1" s="1"/>
  <c r="O9" i="1"/>
  <c r="N9" i="1"/>
  <c r="P9" i="1" s="1"/>
  <c r="M9" i="1"/>
  <c r="L9" i="1"/>
  <c r="K9" i="1"/>
  <c r="J9" i="1"/>
  <c r="G9" i="1"/>
  <c r="I9" i="1" s="1"/>
  <c r="F9" i="1"/>
  <c r="C9" i="1"/>
  <c r="B9" i="1"/>
  <c r="D9" i="1" s="1"/>
  <c r="AE8" i="1"/>
  <c r="AG8" i="1" s="1"/>
  <c r="AD8" i="1"/>
  <c r="AC8" i="1"/>
  <c r="AA8" i="1"/>
  <c r="AA11" i="1" s="1"/>
  <c r="AA12" i="1" s="1"/>
  <c r="Z8" i="1"/>
  <c r="AB8" i="1" s="1"/>
  <c r="W8" i="1"/>
  <c r="W11" i="1" s="1"/>
  <c r="W12" i="1" s="1"/>
  <c r="V8" i="1"/>
  <c r="X8" i="1" s="1"/>
  <c r="S8" i="1"/>
  <c r="R8" i="1"/>
  <c r="O8" i="1"/>
  <c r="O11" i="1" s="1"/>
  <c r="O12" i="1" s="1"/>
  <c r="N8" i="1"/>
  <c r="P8" i="1" s="1"/>
  <c r="K8" i="1"/>
  <c r="K11" i="1" s="1"/>
  <c r="K12" i="1" s="1"/>
  <c r="J8" i="1"/>
  <c r="L8" i="1" s="1"/>
  <c r="G8" i="1"/>
  <c r="F8" i="1"/>
  <c r="C8" i="1"/>
  <c r="C11" i="1" s="1"/>
  <c r="B8" i="1"/>
  <c r="B11" i="1" s="1"/>
  <c r="AF16" i="1" l="1"/>
  <c r="AD18" i="1"/>
  <c r="AG16" i="1"/>
  <c r="H21" i="1"/>
  <c r="I21" i="1"/>
  <c r="F23" i="1"/>
  <c r="V48" i="1"/>
  <c r="X48" i="1" s="1"/>
  <c r="X45" i="1"/>
  <c r="X35" i="1"/>
  <c r="V38" i="1"/>
  <c r="X38" i="1" s="1"/>
  <c r="Y38" i="1"/>
  <c r="W18" i="1"/>
  <c r="Y15" i="1"/>
  <c r="X15" i="1"/>
  <c r="AK16" i="1"/>
  <c r="AG38" i="1"/>
  <c r="D11" i="1"/>
  <c r="B12" i="1"/>
  <c r="AB18" i="1"/>
  <c r="AC18" i="1"/>
  <c r="AB20" i="1"/>
  <c r="Z23" i="1"/>
  <c r="AB23" i="1" s="1"/>
  <c r="AC20" i="1"/>
  <c r="X31" i="1"/>
  <c r="V33" i="1"/>
  <c r="X33" i="1" s="1"/>
  <c r="Y31" i="1"/>
  <c r="AH31" i="1"/>
  <c r="T40" i="1"/>
  <c r="R43" i="1"/>
  <c r="T43" i="1" s="1"/>
  <c r="AH10" i="1"/>
  <c r="AJ10" i="1" s="1"/>
  <c r="H10" i="1"/>
  <c r="L23" i="1"/>
  <c r="M23" i="1"/>
  <c r="Y53" i="1"/>
  <c r="AH41" i="1"/>
  <c r="AJ41" i="1" s="1"/>
  <c r="D41" i="1"/>
  <c r="S11" i="1"/>
  <c r="AI11" i="1" s="1"/>
  <c r="U8" i="1"/>
  <c r="T25" i="1"/>
  <c r="R28" i="1"/>
  <c r="U25" i="1"/>
  <c r="AH25" i="1"/>
  <c r="G38" i="1"/>
  <c r="I35" i="1"/>
  <c r="AB26" i="1"/>
  <c r="Z28" i="1"/>
  <c r="AC26" i="1"/>
  <c r="AI28" i="1"/>
  <c r="E28" i="1"/>
  <c r="AC23" i="1"/>
  <c r="I28" i="1"/>
  <c r="H28" i="1"/>
  <c r="AI8" i="1"/>
  <c r="L18" i="1"/>
  <c r="M18" i="1"/>
  <c r="X18" i="1"/>
  <c r="L48" i="1"/>
  <c r="AB9" i="1"/>
  <c r="AC9" i="1"/>
  <c r="Z11" i="1"/>
  <c r="AG18" i="1"/>
  <c r="H8" i="1"/>
  <c r="F11" i="1"/>
  <c r="AH8" i="1"/>
  <c r="AJ8" i="1" s="1"/>
  <c r="X28" i="1"/>
  <c r="Y28" i="1"/>
  <c r="AF53" i="1"/>
  <c r="AC33" i="1"/>
  <c r="U40" i="1"/>
  <c r="B48" i="1"/>
  <c r="AH45" i="1"/>
  <c r="AJ45" i="1" s="1"/>
  <c r="AH51" i="1"/>
  <c r="AJ51" i="1" s="1"/>
  <c r="N58" i="1"/>
  <c r="P58" i="1" s="1"/>
  <c r="P55" i="1"/>
  <c r="P30" i="1"/>
  <c r="I36" i="1"/>
  <c r="M51" i="1"/>
  <c r="E56" i="1"/>
  <c r="AI56" i="1"/>
  <c r="L15" i="1"/>
  <c r="AH16" i="1"/>
  <c r="AJ16" i="1" s="1"/>
  <c r="J38" i="1"/>
  <c r="L38" i="1" s="1"/>
  <c r="L36" i="1"/>
  <c r="L46" i="1"/>
  <c r="J53" i="1"/>
  <c r="AF79" i="1"/>
  <c r="N18" i="1"/>
  <c r="AD28" i="1"/>
  <c r="M31" i="1"/>
  <c r="K33" i="1"/>
  <c r="M33" i="1" s="1"/>
  <c r="AC61" i="1"/>
  <c r="AE82" i="1"/>
  <c r="Y112" i="1"/>
  <c r="W115" i="1"/>
  <c r="Y115" i="1" s="1"/>
  <c r="X112" i="1"/>
  <c r="Y8" i="1"/>
  <c r="AG9" i="1"/>
  <c r="J11" i="1"/>
  <c r="AH11" i="1" s="1"/>
  <c r="AJ11" i="1" s="1"/>
  <c r="AG20" i="1"/>
  <c r="L21" i="1"/>
  <c r="V23" i="1"/>
  <c r="X23" i="1" s="1"/>
  <c r="X25" i="1"/>
  <c r="AG26" i="1"/>
  <c r="M28" i="1"/>
  <c r="L31" i="1"/>
  <c r="Q46" i="1"/>
  <c r="I61" i="1"/>
  <c r="U66" i="1"/>
  <c r="AI66" i="1"/>
  <c r="AK66" i="1" s="1"/>
  <c r="AC72" i="1"/>
  <c r="AB72" i="1"/>
  <c r="P72" i="1"/>
  <c r="AC84" i="1"/>
  <c r="AA86" i="1"/>
  <c r="AC112" i="1"/>
  <c r="AA115" i="1"/>
  <c r="E9" i="1"/>
  <c r="AH9" i="1"/>
  <c r="AE11" i="1"/>
  <c r="I16" i="1"/>
  <c r="R18" i="1"/>
  <c r="E20" i="1"/>
  <c r="AH20" i="1"/>
  <c r="E26" i="1"/>
  <c r="AH26" i="1"/>
  <c r="N28" i="1"/>
  <c r="P28" i="1" s="1"/>
  <c r="C33" i="1"/>
  <c r="AI30" i="1"/>
  <c r="AK30" i="1" s="1"/>
  <c r="E30" i="1"/>
  <c r="D30" i="1"/>
  <c r="AG31" i="1"/>
  <c r="S33" i="1"/>
  <c r="U33" i="1" s="1"/>
  <c r="AG35" i="1"/>
  <c r="P36" i="1"/>
  <c r="AF36" i="1"/>
  <c r="AG36" i="1"/>
  <c r="AD38" i="1"/>
  <c r="AF38" i="1" s="1"/>
  <c r="H40" i="1"/>
  <c r="F43" i="1"/>
  <c r="M41" i="1"/>
  <c r="L41" i="1"/>
  <c r="G43" i="1"/>
  <c r="I43" i="1" s="1"/>
  <c r="U53" i="1"/>
  <c r="C58" i="1"/>
  <c r="AB71" i="1"/>
  <c r="AB84" i="1"/>
  <c r="M88" i="1"/>
  <c r="L88" i="1"/>
  <c r="AJ94" i="1"/>
  <c r="AB112" i="1"/>
  <c r="D67" i="1"/>
  <c r="AH67" i="1"/>
  <c r="AJ67" i="1" s="1"/>
  <c r="J77" i="1"/>
  <c r="L77" i="1" s="1"/>
  <c r="L74" i="1"/>
  <c r="V12" i="1"/>
  <c r="R23" i="1"/>
  <c r="Y45" i="1"/>
  <c r="AG96" i="1"/>
  <c r="G11" i="1"/>
  <c r="Y61" i="1"/>
  <c r="I8" i="1"/>
  <c r="E16" i="1"/>
  <c r="Q30" i="1"/>
  <c r="AC35" i="1"/>
  <c r="AA38" i="1"/>
  <c r="AC38" i="1" s="1"/>
  <c r="AJ46" i="1"/>
  <c r="I89" i="1"/>
  <c r="H89" i="1"/>
  <c r="U115" i="1"/>
  <c r="I25" i="1"/>
  <c r="L33" i="1"/>
  <c r="D47" i="1"/>
  <c r="AH47" i="1"/>
  <c r="AJ47" i="1" s="1"/>
  <c r="U55" i="1"/>
  <c r="S58" i="1"/>
  <c r="U58" i="1" s="1"/>
  <c r="N82" i="1"/>
  <c r="P82" i="1" s="1"/>
  <c r="P79" i="1"/>
  <c r="AD11" i="1"/>
  <c r="AC15" i="1"/>
  <c r="AH17" i="1"/>
  <c r="AJ17" i="1" s="1"/>
  <c r="AI23" i="1"/>
  <c r="M36" i="1"/>
  <c r="AB36" i="1"/>
  <c r="E40" i="1"/>
  <c r="C43" i="1"/>
  <c r="Y40" i="1"/>
  <c r="K53" i="1"/>
  <c r="M53" i="1" s="1"/>
  <c r="M50" i="1"/>
  <c r="M8" i="1"/>
  <c r="H9" i="1"/>
  <c r="U9" i="1"/>
  <c r="AI9" i="1"/>
  <c r="AK9" i="1" s="1"/>
  <c r="N11" i="1"/>
  <c r="Q15" i="1"/>
  <c r="X16" i="1"/>
  <c r="U20" i="1"/>
  <c r="AC21" i="1"/>
  <c r="U26" i="1"/>
  <c r="AH27" i="1"/>
  <c r="AJ27" i="1" s="1"/>
  <c r="I30" i="1"/>
  <c r="G33" i="1"/>
  <c r="I33" i="1" s="1"/>
  <c r="P33" i="1"/>
  <c r="AJ34" i="1"/>
  <c r="P41" i="1"/>
  <c r="J43" i="1"/>
  <c r="L43" i="1" s="1"/>
  <c r="M45" i="1"/>
  <c r="L45" i="1"/>
  <c r="N53" i="1"/>
  <c r="P53" i="1" s="1"/>
  <c r="AI50" i="1"/>
  <c r="AK50" i="1" s="1"/>
  <c r="AH55" i="1"/>
  <c r="D55" i="1"/>
  <c r="B58" i="1"/>
  <c r="N68" i="1"/>
  <c r="P68" i="1" s="1"/>
  <c r="P65" i="1"/>
  <c r="D66" i="1"/>
  <c r="AH66" i="1"/>
  <c r="AC71" i="1"/>
  <c r="U77" i="1"/>
  <c r="H112" i="1"/>
  <c r="AH112" i="1"/>
  <c r="F115" i="1"/>
  <c r="AE115" i="1"/>
  <c r="AG112" i="1"/>
  <c r="AF112" i="1"/>
  <c r="Y113" i="1"/>
  <c r="X113" i="1"/>
  <c r="Y51" i="1"/>
  <c r="X51" i="1"/>
  <c r="AE53" i="1"/>
  <c r="AG53" i="1" s="1"/>
  <c r="Y60" i="1"/>
  <c r="X60" i="1"/>
  <c r="AG80" i="1"/>
  <c r="AF80" i="1"/>
  <c r="F91" i="1"/>
  <c r="D104" i="1"/>
  <c r="AH104" i="1"/>
  <c r="AI112" i="1"/>
  <c r="AK112" i="1" s="1"/>
  <c r="AC46" i="1"/>
  <c r="AA48" i="1"/>
  <c r="AC48" i="1" s="1"/>
  <c r="M80" i="1"/>
  <c r="L80" i="1"/>
  <c r="Y35" i="1"/>
  <c r="AG48" i="1"/>
  <c r="AB101" i="1"/>
  <c r="X43" i="1"/>
  <c r="Z48" i="1"/>
  <c r="AB45" i="1"/>
  <c r="Z53" i="1"/>
  <c r="AB53" i="1" s="1"/>
  <c r="AB50" i="1"/>
  <c r="B23" i="1"/>
  <c r="AK39" i="1"/>
  <c r="AJ39" i="1"/>
  <c r="D45" i="1"/>
  <c r="AC50" i="1"/>
  <c r="AA53" i="1"/>
  <c r="M15" i="1"/>
  <c r="U16" i="1"/>
  <c r="Q20" i="1"/>
  <c r="Y21" i="1"/>
  <c r="Q26" i="1"/>
  <c r="AI18" i="1"/>
  <c r="B18" i="1"/>
  <c r="M43" i="1"/>
  <c r="N48" i="1"/>
  <c r="P45" i="1"/>
  <c r="C12" i="1"/>
  <c r="AF8" i="1"/>
  <c r="R11" i="1"/>
  <c r="AH15" i="1"/>
  <c r="AJ15" i="1" s="1"/>
  <c r="L16" i="1"/>
  <c r="AD23" i="1"/>
  <c r="Y33" i="1"/>
  <c r="AH35" i="1"/>
  <c r="AJ35" i="1" s="1"/>
  <c r="D35" i="1"/>
  <c r="F38" i="1"/>
  <c r="H38" i="1" s="1"/>
  <c r="M40" i="1"/>
  <c r="T41" i="1"/>
  <c r="O43" i="1"/>
  <c r="Q43" i="1" s="1"/>
  <c r="Q45" i="1"/>
  <c r="O48" i="1"/>
  <c r="Q48" i="1" s="1"/>
  <c r="X46" i="1"/>
  <c r="P50" i="1"/>
  <c r="AB51" i="1"/>
  <c r="Z58" i="1"/>
  <c r="AB58" i="1" s="1"/>
  <c r="AB55" i="1"/>
  <c r="AH60" i="1"/>
  <c r="AG77" i="1"/>
  <c r="AI80" i="1"/>
  <c r="AK80" i="1" s="1"/>
  <c r="K82" i="1"/>
  <c r="M82" i="1" s="1"/>
  <c r="G91" i="1"/>
  <c r="I91" i="1" s="1"/>
  <c r="AI104" i="1"/>
  <c r="AK104" i="1" s="1"/>
  <c r="C106" i="1"/>
  <c r="E104" i="1"/>
  <c r="D105" i="1"/>
  <c r="AH105" i="1"/>
  <c r="AJ105" i="1" s="1"/>
  <c r="W48" i="1"/>
  <c r="AF52" i="1"/>
  <c r="I55" i="1"/>
  <c r="G58" i="1"/>
  <c r="U63" i="1"/>
  <c r="AJ64" i="1"/>
  <c r="U65" i="1"/>
  <c r="S68" i="1"/>
  <c r="U68" i="1" s="1"/>
  <c r="AI71" i="1"/>
  <c r="AK71" i="1" s="1"/>
  <c r="G77" i="1"/>
  <c r="I74" i="1"/>
  <c r="AC74" i="1"/>
  <c r="AB74" i="1"/>
  <c r="AA77" i="1"/>
  <c r="K91" i="1"/>
  <c r="B106" i="1"/>
  <c r="E41" i="1"/>
  <c r="Y50" i="1"/>
  <c r="X50" i="1"/>
  <c r="L60" i="1"/>
  <c r="J63" i="1"/>
  <c r="Y11" i="1"/>
  <c r="AB30" i="1"/>
  <c r="E45" i="1"/>
  <c r="C48" i="1"/>
  <c r="E75" i="1"/>
  <c r="D75" i="1"/>
  <c r="AI75" i="1"/>
  <c r="AK75" i="1" s="1"/>
  <c r="J96" i="1"/>
  <c r="L93" i="1"/>
  <c r="AH93" i="1"/>
  <c r="AJ93" i="1" s="1"/>
  <c r="AE121" i="1"/>
  <c r="AC30" i="1"/>
  <c r="D56" i="1"/>
  <c r="Q9" i="1"/>
  <c r="B43" i="1"/>
  <c r="AH40" i="1"/>
  <c r="AJ40" i="1" s="1"/>
  <c r="D40" i="1"/>
  <c r="AH42" i="1"/>
  <c r="AJ42" i="1" s="1"/>
  <c r="H48" i="1"/>
  <c r="Q51" i="1"/>
  <c r="AI31" i="1"/>
  <c r="AK31" i="1" s="1"/>
  <c r="D8" i="1"/>
  <c r="Q8" i="1"/>
  <c r="U15" i="1"/>
  <c r="AI15" i="1"/>
  <c r="F18" i="1"/>
  <c r="X20" i="1"/>
  <c r="AG21" i="1"/>
  <c r="X26" i="1"/>
  <c r="B28" i="1"/>
  <c r="D33" i="1"/>
  <c r="E35" i="1"/>
  <c r="C38" i="1"/>
  <c r="AH36" i="1"/>
  <c r="AJ36" i="1" s="1"/>
  <c r="D37" i="1"/>
  <c r="N43" i="1"/>
  <c r="P40" i="1"/>
  <c r="AI40" i="1"/>
  <c r="E8" i="1"/>
  <c r="T8" i="1"/>
  <c r="AC16" i="1"/>
  <c r="E21" i="1"/>
  <c r="AH21" i="1"/>
  <c r="N23" i="1"/>
  <c r="Q25" i="1"/>
  <c r="AD33" i="1"/>
  <c r="H35" i="1"/>
  <c r="U35" i="1"/>
  <c r="S43" i="1"/>
  <c r="U45" i="1"/>
  <c r="S48" i="1"/>
  <c r="AB46" i="1"/>
  <c r="AH52" i="1"/>
  <c r="AJ52" i="1" s="1"/>
  <c r="J58" i="1"/>
  <c r="L58" i="1" s="1"/>
  <c r="L55" i="1"/>
  <c r="X63" i="1"/>
  <c r="V68" i="1"/>
  <c r="X68" i="1" s="1"/>
  <c r="X65" i="1"/>
  <c r="AF72" i="1"/>
  <c r="AI20" i="1"/>
  <c r="AK20" i="1" s="1"/>
  <c r="AI25" i="1"/>
  <c r="AK25" i="1" s="1"/>
  <c r="T31" i="1"/>
  <c r="AF50" i="1"/>
  <c r="AF51" i="1"/>
  <c r="E55" i="1"/>
  <c r="Y58" i="1"/>
  <c r="H56" i="1"/>
  <c r="T60" i="1"/>
  <c r="R63" i="1"/>
  <c r="T63" i="1" s="1"/>
  <c r="E61" i="1"/>
  <c r="AI61" i="1"/>
  <c r="AK61" i="1" s="1"/>
  <c r="Q65" i="1"/>
  <c r="L68" i="1"/>
  <c r="AB91" i="1"/>
  <c r="AC98" i="1"/>
  <c r="AB98" i="1"/>
  <c r="Z43" i="1"/>
  <c r="AB43" i="1" s="1"/>
  <c r="H41" i="1"/>
  <c r="H45" i="1"/>
  <c r="T46" i="1"/>
  <c r="AI46" i="1"/>
  <c r="AK46" i="1" s="1"/>
  <c r="AC55" i="1"/>
  <c r="AA58" i="1"/>
  <c r="AH56" i="1"/>
  <c r="AJ56" i="1" s="1"/>
  <c r="AH57" i="1"/>
  <c r="AJ57" i="1" s="1"/>
  <c r="E60" i="1"/>
  <c r="AI60" i="1"/>
  <c r="AK60" i="1" s="1"/>
  <c r="M61" i="1"/>
  <c r="AA63" i="1"/>
  <c r="AC63" i="1" s="1"/>
  <c r="B68" i="1"/>
  <c r="D65" i="1"/>
  <c r="AG71" i="1"/>
  <c r="AF71" i="1"/>
  <c r="AH75" i="1"/>
  <c r="Y75" i="1"/>
  <c r="B82" i="1"/>
  <c r="AH79" i="1"/>
  <c r="Q79" i="1"/>
  <c r="O82" i="1"/>
  <c r="AI79" i="1"/>
  <c r="AK79" i="1" s="1"/>
  <c r="E96" i="1"/>
  <c r="D96" i="1"/>
  <c r="M120" i="1"/>
  <c r="L120" i="1"/>
  <c r="AH32" i="1"/>
  <c r="AJ32" i="1" s="1"/>
  <c r="T36" i="1"/>
  <c r="Z38" i="1"/>
  <c r="E50" i="1"/>
  <c r="E70" i="1"/>
  <c r="AI70" i="1"/>
  <c r="AK70" i="1" s="1"/>
  <c r="C72" i="1"/>
  <c r="L71" i="1"/>
  <c r="E79" i="1"/>
  <c r="C82" i="1"/>
  <c r="AB88" i="1"/>
  <c r="AA91" i="1"/>
  <c r="AC91" i="1" s="1"/>
  <c r="H101" i="1"/>
  <c r="Y109" i="1"/>
  <c r="X109" i="1"/>
  <c r="AB40" i="1"/>
  <c r="D50" i="1"/>
  <c r="D51" i="1"/>
  <c r="C53" i="1"/>
  <c r="M55" i="1"/>
  <c r="I60" i="1"/>
  <c r="Z63" i="1"/>
  <c r="AB60" i="1"/>
  <c r="AG63" i="1"/>
  <c r="AF67" i="1"/>
  <c r="D70" i="1"/>
  <c r="M71" i="1"/>
  <c r="H75" i="1"/>
  <c r="AC75" i="1"/>
  <c r="AB75" i="1"/>
  <c r="D79" i="1"/>
  <c r="H81" i="1"/>
  <c r="AH81" i="1"/>
  <c r="AJ81" i="1" s="1"/>
  <c r="U86" i="1"/>
  <c r="O91" i="1"/>
  <c r="Q88" i="1"/>
  <c r="V96" i="1"/>
  <c r="X93" i="1"/>
  <c r="AI99" i="1"/>
  <c r="Y99" i="1"/>
  <c r="M101" i="1"/>
  <c r="D119" i="1"/>
  <c r="AH119" i="1"/>
  <c r="AJ119" i="1" s="1"/>
  <c r="G96" i="1"/>
  <c r="AI93" i="1"/>
  <c r="Y93" i="1"/>
  <c r="W96" i="1"/>
  <c r="Y96" i="1" s="1"/>
  <c r="AC99" i="1"/>
  <c r="AB99" i="1"/>
  <c r="I109" i="1"/>
  <c r="H109" i="1"/>
  <c r="AI109" i="1"/>
  <c r="Y120" i="1"/>
  <c r="X120" i="1"/>
  <c r="AC31" i="1"/>
  <c r="Q40" i="1"/>
  <c r="AC41" i="1"/>
  <c r="AC45" i="1"/>
  <c r="G53" i="1"/>
  <c r="I53" i="1" s="1"/>
  <c r="Q55" i="1"/>
  <c r="AI55" i="1"/>
  <c r="AK55" i="1" s="1"/>
  <c r="F58" i="1"/>
  <c r="H58" i="1" s="1"/>
  <c r="K63" i="1"/>
  <c r="M63" i="1" s="1"/>
  <c r="M60" i="1"/>
  <c r="F63" i="1"/>
  <c r="AG65" i="1"/>
  <c r="AE68" i="1"/>
  <c r="P66" i="1"/>
  <c r="E74" i="1"/>
  <c r="C77" i="1"/>
  <c r="AI74" i="1"/>
  <c r="AK74" i="1" s="1"/>
  <c r="V77" i="1"/>
  <c r="X77" i="1" s="1"/>
  <c r="X74" i="1"/>
  <c r="AG75" i="1"/>
  <c r="AH86" i="1"/>
  <c r="H93" i="1"/>
  <c r="S110" i="1"/>
  <c r="U110" i="1" s="1"/>
  <c r="T108" i="1"/>
  <c r="T110" i="1"/>
  <c r="Q35" i="1"/>
  <c r="AF35" i="1"/>
  <c r="O38" i="1"/>
  <c r="Q38" i="1" s="1"/>
  <c r="AA43" i="1"/>
  <c r="G63" i="1"/>
  <c r="I63" i="1" s="1"/>
  <c r="AH65" i="1"/>
  <c r="AJ65" i="1" s="1"/>
  <c r="AG70" i="1"/>
  <c r="AF70" i="1"/>
  <c r="AH74" i="1"/>
  <c r="W77" i="1"/>
  <c r="Y74" i="1"/>
  <c r="M85" i="1"/>
  <c r="L85" i="1"/>
  <c r="I93" i="1"/>
  <c r="AC96" i="1"/>
  <c r="C101" i="1"/>
  <c r="E98" i="1"/>
  <c r="AI98" i="1"/>
  <c r="Q103" i="1"/>
  <c r="P103" i="1"/>
  <c r="O106" i="1"/>
  <c r="U108" i="1"/>
  <c r="AC56" i="1"/>
  <c r="AG60" i="1"/>
  <c r="E65" i="1"/>
  <c r="E66" i="1"/>
  <c r="Q71" i="1"/>
  <c r="P71" i="1"/>
  <c r="AH72" i="1"/>
  <c r="T72" i="1"/>
  <c r="K77" i="1"/>
  <c r="M74" i="1"/>
  <c r="M75" i="1"/>
  <c r="U80" i="1"/>
  <c r="S82" i="1"/>
  <c r="T80" i="1"/>
  <c r="M84" i="1"/>
  <c r="K86" i="1"/>
  <c r="AI86" i="1" s="1"/>
  <c r="AK86" i="1" s="1"/>
  <c r="L84" i="1"/>
  <c r="AJ84" i="1"/>
  <c r="X85" i="1"/>
  <c r="W86" i="1"/>
  <c r="I86" i="1"/>
  <c r="Y94" i="1"/>
  <c r="AF101" i="1"/>
  <c r="AI113" i="1"/>
  <c r="AF114" i="1"/>
  <c r="AD115" i="1"/>
  <c r="AF115" i="1" s="1"/>
  <c r="AH114" i="1"/>
  <c r="AJ114" i="1" s="1"/>
  <c r="AF120" i="1"/>
  <c r="AG120" i="1"/>
  <c r="AG55" i="1"/>
  <c r="AF56" i="1"/>
  <c r="N63" i="1"/>
  <c r="P63" i="1" s="1"/>
  <c r="P60" i="1"/>
  <c r="P61" i="1"/>
  <c r="O63" i="1"/>
  <c r="H65" i="1"/>
  <c r="H66" i="1"/>
  <c r="C68" i="1"/>
  <c r="S72" i="1"/>
  <c r="U72" i="1" s="1"/>
  <c r="N77" i="1"/>
  <c r="P77" i="1" s="1"/>
  <c r="R77" i="1"/>
  <c r="T77" i="1" s="1"/>
  <c r="Y85" i="1"/>
  <c r="C91" i="1"/>
  <c r="AI88" i="1"/>
  <c r="AK88" i="1" s="1"/>
  <c r="E88" i="1"/>
  <c r="P89" i="1"/>
  <c r="AF90" i="1"/>
  <c r="AF98" i="1"/>
  <c r="AE101" i="1"/>
  <c r="AG101" i="1" s="1"/>
  <c r="Y108" i="1"/>
  <c r="M112" i="1"/>
  <c r="AH117" i="1"/>
  <c r="T55" i="1"/>
  <c r="Y65" i="1"/>
  <c r="AJ70" i="1"/>
  <c r="D72" i="1"/>
  <c r="X72" i="1"/>
  <c r="O77" i="1"/>
  <c r="Q74" i="1"/>
  <c r="Q75" i="1"/>
  <c r="P75" i="1"/>
  <c r="D88" i="1"/>
  <c r="AG91" i="1"/>
  <c r="N91" i="1"/>
  <c r="P91" i="1" s="1"/>
  <c r="P90" i="1"/>
  <c r="T91" i="1"/>
  <c r="L98" i="1"/>
  <c r="AG99" i="1"/>
  <c r="AF99" i="1"/>
  <c r="M117" i="1"/>
  <c r="Z68" i="1"/>
  <c r="AB68" i="1" s="1"/>
  <c r="AB65" i="1"/>
  <c r="AC68" i="1"/>
  <c r="AJ80" i="1"/>
  <c r="AC94" i="1"/>
  <c r="AB94" i="1"/>
  <c r="S106" i="1"/>
  <c r="U106" i="1" s="1"/>
  <c r="T104" i="1"/>
  <c r="Q117" i="1"/>
  <c r="P117" i="1"/>
  <c r="N120" i="1"/>
  <c r="P120" i="1" s="1"/>
  <c r="E118" i="1"/>
  <c r="D118" i="1"/>
  <c r="AH118" i="1"/>
  <c r="AJ118" i="1" s="1"/>
  <c r="Y118" i="1"/>
  <c r="Q56" i="1"/>
  <c r="AE58" i="1"/>
  <c r="AG58" i="1" s="1"/>
  <c r="U60" i="1"/>
  <c r="AC65" i="1"/>
  <c r="AC66" i="1"/>
  <c r="H85" i="1"/>
  <c r="AI85" i="1"/>
  <c r="P86" i="1"/>
  <c r="AI89" i="1"/>
  <c r="AK89" i="1" s="1"/>
  <c r="AG89" i="1"/>
  <c r="X91" i="1"/>
  <c r="T96" i="1"/>
  <c r="P101" i="1"/>
  <c r="U104" i="1"/>
  <c r="W110" i="1"/>
  <c r="Q120" i="1"/>
  <c r="AK118" i="1"/>
  <c r="T56" i="1"/>
  <c r="B63" i="1"/>
  <c r="D60" i="1"/>
  <c r="D61" i="1"/>
  <c r="AF65" i="1"/>
  <c r="AF66" i="1"/>
  <c r="T70" i="1"/>
  <c r="I72" i="1"/>
  <c r="AH76" i="1"/>
  <c r="AJ76" i="1" s="1"/>
  <c r="AB80" i="1"/>
  <c r="AA82" i="1"/>
  <c r="I85" i="1"/>
  <c r="AJ89" i="1"/>
  <c r="AE106" i="1"/>
  <c r="AG106" i="1" s="1"/>
  <c r="AG103" i="1"/>
  <c r="AF103" i="1"/>
  <c r="AH110" i="1"/>
  <c r="J115" i="1"/>
  <c r="L115" i="1" s="1"/>
  <c r="F82" i="1"/>
  <c r="M93" i="1"/>
  <c r="AF106" i="1"/>
  <c r="C110" i="1"/>
  <c r="AI108" i="1"/>
  <c r="AK108" i="1" s="1"/>
  <c r="D108" i="1"/>
  <c r="AA110" i="1"/>
  <c r="AC110" i="1" s="1"/>
  <c r="AC108" i="1"/>
  <c r="AC118" i="1"/>
  <c r="AB118" i="1"/>
  <c r="P80" i="1"/>
  <c r="AF84" i="1"/>
  <c r="AF85" i="1"/>
  <c r="AF88" i="1"/>
  <c r="P94" i="1"/>
  <c r="AH99" i="1"/>
  <c r="AJ99" i="1" s="1"/>
  <c r="B101" i="1"/>
  <c r="Q99" i="1"/>
  <c r="U101" i="1"/>
  <c r="W106" i="1"/>
  <c r="E108" i="1"/>
  <c r="AB108" i="1"/>
  <c r="K110" i="1"/>
  <c r="AB110" i="1"/>
  <c r="N115" i="1"/>
  <c r="P115" i="1" s="1"/>
  <c r="Q113" i="1"/>
  <c r="Z77" i="1"/>
  <c r="AB77" i="1" s="1"/>
  <c r="AB95" i="1"/>
  <c r="F96" i="1"/>
  <c r="H96" i="1" s="1"/>
  <c r="E99" i="1"/>
  <c r="P99" i="1"/>
  <c r="H104" i="1"/>
  <c r="AG104" i="1"/>
  <c r="H108" i="1"/>
  <c r="G110" i="1"/>
  <c r="I110" i="1" s="1"/>
  <c r="E117" i="1"/>
  <c r="D117" i="1"/>
  <c r="B120" i="1"/>
  <c r="AH90" i="1"/>
  <c r="AJ90" i="1" s="1"/>
  <c r="T106" i="1"/>
  <c r="D113" i="1"/>
  <c r="C115" i="1"/>
  <c r="Y117" i="1"/>
  <c r="D74" i="1"/>
  <c r="P74" i="1"/>
  <c r="P93" i="1"/>
  <c r="AC93" i="1"/>
  <c r="AF94" i="1"/>
  <c r="I98" i="1"/>
  <c r="X98" i="1"/>
  <c r="AH100" i="1"/>
  <c r="AJ100" i="1" s="1"/>
  <c r="W101" i="1"/>
  <c r="P110" i="1"/>
  <c r="Q112" i="1"/>
  <c r="E113" i="1"/>
  <c r="T113" i="1"/>
  <c r="AC117" i="1"/>
  <c r="AB117" i="1"/>
  <c r="Z120" i="1"/>
  <c r="AB120" i="1" s="1"/>
  <c r="M118" i="1"/>
  <c r="T119" i="1"/>
  <c r="R120" i="1"/>
  <c r="J91" i="1"/>
  <c r="L91" i="1" s="1"/>
  <c r="K96" i="1"/>
  <c r="M96" i="1" s="1"/>
  <c r="J101" i="1"/>
  <c r="L101" i="1" s="1"/>
  <c r="H106" i="1"/>
  <c r="L108" i="1"/>
  <c r="AH113" i="1"/>
  <c r="AJ113" i="1" s="1"/>
  <c r="Q118" i="1"/>
  <c r="P118" i="1"/>
  <c r="AH103" i="1"/>
  <c r="AJ103" i="1" s="1"/>
  <c r="P108" i="1"/>
  <c r="D110" i="1"/>
  <c r="I112" i="1"/>
  <c r="H119" i="1"/>
  <c r="C120" i="1"/>
  <c r="H117" i="1"/>
  <c r="T117" i="1"/>
  <c r="AF117" i="1"/>
  <c r="H118" i="1"/>
  <c r="T118" i="1"/>
  <c r="AF118" i="1"/>
  <c r="I117" i="1"/>
  <c r="U117" i="1"/>
  <c r="AG117" i="1"/>
  <c r="AK11" i="1" l="1"/>
  <c r="AJ109" i="1"/>
  <c r="AK109" i="1"/>
  <c r="U28" i="1"/>
  <c r="T28" i="1"/>
  <c r="Q82" i="1"/>
  <c r="I77" i="1"/>
  <c r="H77" i="1"/>
  <c r="N121" i="1"/>
  <c r="P121" i="1" s="1"/>
  <c r="P18" i="1"/>
  <c r="Q18" i="1"/>
  <c r="AI110" i="1"/>
  <c r="AK110" i="1" s="1"/>
  <c r="E110" i="1"/>
  <c r="AH101" i="1"/>
  <c r="D101" i="1"/>
  <c r="E53" i="1"/>
  <c r="AI53" i="1"/>
  <c r="X12" i="1"/>
  <c r="Y12" i="1"/>
  <c r="AG28" i="1"/>
  <c r="AF28" i="1"/>
  <c r="Z121" i="1"/>
  <c r="AB121" i="1" s="1"/>
  <c r="AJ72" i="1"/>
  <c r="E72" i="1"/>
  <c r="AI72" i="1"/>
  <c r="AK72" i="1" s="1"/>
  <c r="P23" i="1"/>
  <c r="Q23" i="1"/>
  <c r="S121" i="1"/>
  <c r="O121" i="1"/>
  <c r="AK21" i="1"/>
  <c r="AJ21" i="1"/>
  <c r="D120" i="1"/>
  <c r="AH120" i="1"/>
  <c r="AJ120" i="1" s="1"/>
  <c r="E101" i="1"/>
  <c r="AI101" i="1"/>
  <c r="AK101" i="1" s="1"/>
  <c r="AI33" i="1"/>
  <c r="E33" i="1"/>
  <c r="E68" i="1"/>
  <c r="AI68" i="1"/>
  <c r="AJ75" i="1"/>
  <c r="AB48" i="1"/>
  <c r="Q28" i="1"/>
  <c r="AC120" i="1"/>
  <c r="AH91" i="1"/>
  <c r="T82" i="1"/>
  <c r="U82" i="1"/>
  <c r="AK93" i="1"/>
  <c r="AC58" i="1"/>
  <c r="D106" i="1"/>
  <c r="AH106" i="1"/>
  <c r="I58" i="1"/>
  <c r="H91" i="1"/>
  <c r="Q58" i="1"/>
  <c r="AA121" i="1"/>
  <c r="I11" i="1"/>
  <c r="G12" i="1"/>
  <c r="AI12" i="1" s="1"/>
  <c r="AK12" i="1" s="1"/>
  <c r="AK26" i="1"/>
  <c r="AJ26" i="1"/>
  <c r="AC115" i="1"/>
  <c r="AB115" i="1"/>
  <c r="D48" i="1"/>
  <c r="AH48" i="1"/>
  <c r="AK51" i="1"/>
  <c r="AK41" i="1"/>
  <c r="Q53" i="1"/>
  <c r="T33" i="1"/>
  <c r="AK98" i="1"/>
  <c r="AJ98" i="1"/>
  <c r="AF23" i="1"/>
  <c r="AG23" i="1"/>
  <c r="L11" i="1"/>
  <c r="J12" i="1"/>
  <c r="AJ79" i="1"/>
  <c r="AJ66" i="1"/>
  <c r="AG11" i="1"/>
  <c r="AE12" i="1"/>
  <c r="AJ31" i="1"/>
  <c r="AK99" i="1"/>
  <c r="G121" i="1"/>
  <c r="I121" i="1" s="1"/>
  <c r="P11" i="1"/>
  <c r="Q11" i="1"/>
  <c r="N12" i="1"/>
  <c r="M11" i="1"/>
  <c r="H11" i="1"/>
  <c r="F12" i="1"/>
  <c r="H82" i="1"/>
  <c r="I82" i="1"/>
  <c r="AB38" i="1"/>
  <c r="AJ104" i="1"/>
  <c r="X96" i="1"/>
  <c r="AK23" i="1"/>
  <c r="V121" i="1"/>
  <c r="X121" i="1" s="1"/>
  <c r="AJ108" i="1"/>
  <c r="AK113" i="1"/>
  <c r="M115" i="1"/>
  <c r="I96" i="1"/>
  <c r="AI96" i="1"/>
  <c r="Q91" i="1"/>
  <c r="U43" i="1"/>
  <c r="AK40" i="1"/>
  <c r="F121" i="1"/>
  <c r="I18" i="1"/>
  <c r="H18" i="1"/>
  <c r="D43" i="1"/>
  <c r="AH43" i="1"/>
  <c r="Q68" i="1"/>
  <c r="M91" i="1"/>
  <c r="K121" i="1"/>
  <c r="L82" i="1"/>
  <c r="AG115" i="1"/>
  <c r="D58" i="1"/>
  <c r="AH58" i="1"/>
  <c r="AG82" i="1"/>
  <c r="AF82" i="1"/>
  <c r="Y23" i="1"/>
  <c r="AH96" i="1"/>
  <c r="AJ96" i="1" s="1"/>
  <c r="AB11" i="1"/>
  <c r="Z12" i="1"/>
  <c r="AC11" i="1"/>
  <c r="B121" i="1"/>
  <c r="D18" i="1"/>
  <c r="AH18" i="1"/>
  <c r="AJ18" i="1" s="1"/>
  <c r="D23" i="1"/>
  <c r="AH23" i="1"/>
  <c r="AJ23" i="1" s="1"/>
  <c r="E23" i="1"/>
  <c r="AI106" i="1"/>
  <c r="AK106" i="1" s="1"/>
  <c r="E106" i="1"/>
  <c r="AK28" i="1"/>
  <c r="S12" i="1"/>
  <c r="U11" i="1"/>
  <c r="AB28" i="1"/>
  <c r="AC28" i="1"/>
  <c r="AJ61" i="1"/>
  <c r="AH77" i="1"/>
  <c r="E12" i="1"/>
  <c r="AC53" i="1"/>
  <c r="H115" i="1"/>
  <c r="AH115" i="1"/>
  <c r="AJ115" i="1" s="1"/>
  <c r="I115" i="1"/>
  <c r="AF11" i="1"/>
  <c r="AD12" i="1"/>
  <c r="H53" i="1"/>
  <c r="AJ20" i="1"/>
  <c r="AC86" i="1"/>
  <c r="AB86" i="1"/>
  <c r="AH33" i="1"/>
  <c r="AJ33" i="1" s="1"/>
  <c r="AK45" i="1"/>
  <c r="J121" i="1"/>
  <c r="L121" i="1" s="1"/>
  <c r="I38" i="1"/>
  <c r="AD121" i="1"/>
  <c r="AF121" i="1" s="1"/>
  <c r="AF18" i="1"/>
  <c r="X101" i="1"/>
  <c r="Y101" i="1"/>
  <c r="Y86" i="1"/>
  <c r="X86" i="1"/>
  <c r="E38" i="1"/>
  <c r="AI38" i="1"/>
  <c r="T120" i="1"/>
  <c r="U120" i="1"/>
  <c r="E43" i="1"/>
  <c r="AI43" i="1"/>
  <c r="AK43" i="1" s="1"/>
  <c r="Y110" i="1"/>
  <c r="X110" i="1"/>
  <c r="L53" i="1"/>
  <c r="AC43" i="1"/>
  <c r="AF58" i="1"/>
  <c r="L96" i="1"/>
  <c r="AJ88" i="1"/>
  <c r="AJ9" i="1"/>
  <c r="U48" i="1"/>
  <c r="T48" i="1"/>
  <c r="Y106" i="1"/>
  <c r="X106" i="1"/>
  <c r="AB63" i="1"/>
  <c r="AH53" i="1"/>
  <c r="AJ53" i="1" s="1"/>
  <c r="Q77" i="1"/>
  <c r="Q106" i="1"/>
  <c r="P106" i="1"/>
  <c r="Y77" i="1"/>
  <c r="AI63" i="1"/>
  <c r="D53" i="1"/>
  <c r="P43" i="1"/>
  <c r="E48" i="1"/>
  <c r="AI48" i="1"/>
  <c r="AK48" i="1" s="1"/>
  <c r="AJ60" i="1"/>
  <c r="AJ112" i="1"/>
  <c r="AJ55" i="1"/>
  <c r="AK65" i="1"/>
  <c r="X115" i="1"/>
  <c r="AK56" i="1"/>
  <c r="H33" i="1"/>
  <c r="AK8" i="1"/>
  <c r="AJ25" i="1"/>
  <c r="W121" i="1"/>
  <c r="Y18" i="1"/>
  <c r="AI91" i="1"/>
  <c r="AK91" i="1" s="1"/>
  <c r="E91" i="1"/>
  <c r="D91" i="1"/>
  <c r="AJ86" i="1"/>
  <c r="D38" i="1"/>
  <c r="AC82" i="1"/>
  <c r="AB82" i="1"/>
  <c r="L63" i="1"/>
  <c r="E18" i="1"/>
  <c r="B122" i="1"/>
  <c r="D12" i="1"/>
  <c r="C121" i="1"/>
  <c r="C122" i="1" s="1"/>
  <c r="AH38" i="1"/>
  <c r="AJ38" i="1" s="1"/>
  <c r="AJ117" i="1"/>
  <c r="AK117" i="1"/>
  <c r="M86" i="1"/>
  <c r="L86" i="1"/>
  <c r="D82" i="1"/>
  <c r="AH82" i="1"/>
  <c r="D28" i="1"/>
  <c r="AH28" i="1"/>
  <c r="AJ28" i="1" s="1"/>
  <c r="H43" i="1"/>
  <c r="AK36" i="1"/>
  <c r="T11" i="1"/>
  <c r="R12" i="1"/>
  <c r="AH12" i="1" s="1"/>
  <c r="I23" i="1"/>
  <c r="H23" i="1"/>
  <c r="M110" i="1"/>
  <c r="L110" i="1"/>
  <c r="AI77" i="1"/>
  <c r="AK77" i="1" s="1"/>
  <c r="E77" i="1"/>
  <c r="Q115" i="1"/>
  <c r="Q63" i="1"/>
  <c r="AG68" i="1"/>
  <c r="AF68" i="1"/>
  <c r="D77" i="1"/>
  <c r="E82" i="1"/>
  <c r="AI82" i="1"/>
  <c r="AK82" i="1" s="1"/>
  <c r="Y68" i="1"/>
  <c r="M58" i="1"/>
  <c r="H110" i="1"/>
  <c r="AK15" i="1"/>
  <c r="AC77" i="1"/>
  <c r="AI120" i="1"/>
  <c r="E120" i="1"/>
  <c r="E115" i="1"/>
  <c r="D115" i="1"/>
  <c r="AI115" i="1"/>
  <c r="D63" i="1"/>
  <c r="AH63" i="1"/>
  <c r="AJ63" i="1" s="1"/>
  <c r="AK85" i="1"/>
  <c r="AJ85" i="1"/>
  <c r="M77" i="1"/>
  <c r="AJ74" i="1"/>
  <c r="AK103" i="1"/>
  <c r="H63" i="1"/>
  <c r="E63" i="1"/>
  <c r="AJ71" i="1"/>
  <c r="D68" i="1"/>
  <c r="AH68" i="1"/>
  <c r="AJ68" i="1" s="1"/>
  <c r="AF33" i="1"/>
  <c r="AG33" i="1"/>
  <c r="M38" i="1"/>
  <c r="Y48" i="1"/>
  <c r="P48" i="1"/>
  <c r="T68" i="1"/>
  <c r="T23" i="1"/>
  <c r="U23" i="1"/>
  <c r="E58" i="1"/>
  <c r="AI58" i="1"/>
  <c r="AK58" i="1" s="1"/>
  <c r="P38" i="1"/>
  <c r="R121" i="1"/>
  <c r="T121" i="1" s="1"/>
  <c r="T18" i="1"/>
  <c r="U18" i="1"/>
  <c r="T58" i="1"/>
  <c r="AJ30" i="1"/>
  <c r="AJ50" i="1"/>
  <c r="AK35" i="1"/>
  <c r="AJ12" i="1" l="1"/>
  <c r="E122" i="1"/>
  <c r="C123" i="1"/>
  <c r="AE122" i="1"/>
  <c r="AG12" i="1"/>
  <c r="AK120" i="1"/>
  <c r="AK63" i="1"/>
  <c r="AJ77" i="1"/>
  <c r="Q121" i="1"/>
  <c r="O122" i="1"/>
  <c r="V122" i="1"/>
  <c r="AG121" i="1"/>
  <c r="AI121" i="1"/>
  <c r="AK121" i="1" s="1"/>
  <c r="E121" i="1"/>
  <c r="AJ91" i="1"/>
  <c r="Y121" i="1"/>
  <c r="W122" i="1"/>
  <c r="AC121" i="1"/>
  <c r="AA122" i="1"/>
  <c r="AJ82" i="1"/>
  <c r="AK96" i="1"/>
  <c r="F122" i="1"/>
  <c r="AH122" i="1" s="1"/>
  <c r="AJ122" i="1" s="1"/>
  <c r="H12" i="1"/>
  <c r="U121" i="1"/>
  <c r="AK53" i="1"/>
  <c r="AK115" i="1"/>
  <c r="AK38" i="1"/>
  <c r="D121" i="1"/>
  <c r="AH121" i="1"/>
  <c r="AJ121" i="1" s="1"/>
  <c r="M121" i="1"/>
  <c r="K122" i="1"/>
  <c r="AK18" i="1"/>
  <c r="AJ48" i="1"/>
  <c r="AJ106" i="1"/>
  <c r="AK68" i="1"/>
  <c r="R122" i="1"/>
  <c r="T12" i="1"/>
  <c r="AD122" i="1"/>
  <c r="AF12" i="1"/>
  <c r="J122" i="1"/>
  <c r="L12" i="1"/>
  <c r="M12" i="1"/>
  <c r="Z122" i="1"/>
  <c r="AB12" i="1"/>
  <c r="AC12" i="1"/>
  <c r="N122" i="1"/>
  <c r="P12" i="1"/>
  <c r="Q12" i="1"/>
  <c r="AJ101" i="1"/>
  <c r="G122" i="1"/>
  <c r="AI122" i="1" s="1"/>
  <c r="AK122" i="1" s="1"/>
  <c r="I12" i="1"/>
  <c r="AJ110" i="1"/>
  <c r="H121" i="1"/>
  <c r="AJ58" i="1"/>
  <c r="D122" i="1"/>
  <c r="B123" i="1"/>
  <c r="S122" i="1"/>
  <c r="U12" i="1"/>
  <c r="AJ43" i="1"/>
  <c r="AK33" i="1"/>
  <c r="P122" i="1" l="1"/>
  <c r="N123" i="1"/>
  <c r="AB122" i="1"/>
  <c r="Z123" i="1"/>
  <c r="Q122" i="1"/>
  <c r="O123" i="1"/>
  <c r="Q123" i="1" s="1"/>
  <c r="S123" i="1"/>
  <c r="U123" i="1" s="1"/>
  <c r="U122" i="1"/>
  <c r="D123" i="1"/>
  <c r="L122" i="1"/>
  <c r="J123" i="1"/>
  <c r="L123" i="1" s="1"/>
  <c r="AE123" i="1"/>
  <c r="AG123" i="1" s="1"/>
  <c r="AG122" i="1"/>
  <c r="X122" i="1"/>
  <c r="V123" i="1"/>
  <c r="X123" i="1" s="1"/>
  <c r="M122" i="1"/>
  <c r="K123" i="1"/>
  <c r="M123" i="1" s="1"/>
  <c r="E123" i="1"/>
  <c r="H122" i="1"/>
  <c r="F123" i="1"/>
  <c r="H123" i="1" s="1"/>
  <c r="AC122" i="1"/>
  <c r="AA123" i="1"/>
  <c r="AC123" i="1" s="1"/>
  <c r="Y122" i="1"/>
  <c r="W123" i="1"/>
  <c r="Y123" i="1" s="1"/>
  <c r="G123" i="1"/>
  <c r="I123" i="1" s="1"/>
  <c r="I122" i="1"/>
  <c r="AF122" i="1"/>
  <c r="AD123" i="1"/>
  <c r="AF123" i="1" s="1"/>
  <c r="T122" i="1"/>
  <c r="R123" i="1"/>
  <c r="T123" i="1" s="1"/>
  <c r="AH123" i="1" l="1"/>
  <c r="AI123" i="1"/>
  <c r="AK123" i="1" s="1"/>
  <c r="AB123" i="1"/>
  <c r="P123" i="1"/>
  <c r="AJ123" i="1" l="1"/>
</calcChain>
</file>

<file path=xl/sharedStrings.xml><?xml version="1.0" encoding="utf-8"?>
<sst xmlns="http://schemas.openxmlformats.org/spreadsheetml/2006/main" count="166" uniqueCount="134">
  <si>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</si>
  <si>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</si>
  <si>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</si>
  <si>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</si>
  <si>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</si>
  <si>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</si>
  <si>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</si>
  <si>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</si>
  <si>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Total</t>
  </si>
  <si>
    <t>Actual</t>
  </si>
  <si>
    <t>Budget</t>
  </si>
  <si>
    <t>over Budget</t>
  </si>
  <si>
    <t>% of Budget</t>
  </si>
  <si>
    <t>Revenue</t>
  </si>
  <si>
    <t xml:space="preserve">   4010-00 MRS Grant</t>
  </si>
  <si>
    <t xml:space="preserve">   4020-00 BSBP Grant</t>
  </si>
  <si>
    <t xml:space="preserve">   4900-00 Interest Income</t>
  </si>
  <si>
    <t>Total Revenue</t>
  </si>
  <si>
    <t>Gross Profit</t>
  </si>
  <si>
    <t>Expenditures</t>
  </si>
  <si>
    <t xml:space="preserve">   5000-00 Wage Expense</t>
  </si>
  <si>
    <t xml:space="preserve">      5000-01 Wages-MRS</t>
  </si>
  <si>
    <t xml:space="preserve">      5000-02 Wages-BSBP</t>
  </si>
  <si>
    <t xml:space="preserve">      5000-99 Wages-Unallocated</t>
  </si>
  <si>
    <t xml:space="preserve">   Total 5000-00 Wage Expense</t>
  </si>
  <si>
    <t xml:space="preserve">   5100-00 Social Security Expense</t>
  </si>
  <si>
    <t xml:space="preserve">      5100-01 Social Sec-MRS</t>
  </si>
  <si>
    <t xml:space="preserve">      5100-02 Social Sec-BSBP</t>
  </si>
  <si>
    <t xml:space="preserve">      5100-99 Social Sec-Unallacated</t>
  </si>
  <si>
    <t xml:space="preserve">   Total 5100-00 Social Security Expense</t>
  </si>
  <si>
    <t xml:space="preserve">   5200-00 Medicare Expense</t>
  </si>
  <si>
    <t xml:space="preserve">      5200-01 Medicare-MRS</t>
  </si>
  <si>
    <t xml:space="preserve">      5200-02 Medicare-BSBP</t>
  </si>
  <si>
    <t xml:space="preserve">      5200-99 Medicare-Unallocated</t>
  </si>
  <si>
    <t xml:space="preserve">   Total 5200-00 Medicare Expense</t>
  </si>
  <si>
    <t xml:space="preserve">   5300-00 UIA Expense</t>
  </si>
  <si>
    <t xml:space="preserve">      5300-01 UIA-MRS</t>
  </si>
  <si>
    <t xml:space="preserve">      5300-02 UIA-BSBP</t>
  </si>
  <si>
    <t xml:space="preserve">      5300-99 UIA-Unallocated</t>
  </si>
  <si>
    <t xml:space="preserve">   Total 5300-00 UIA Expense</t>
  </si>
  <si>
    <t xml:space="preserve">   5400-00 Dental Insurance</t>
  </si>
  <si>
    <t xml:space="preserve">      5400-01 Dental-MRS</t>
  </si>
  <si>
    <t xml:space="preserve">      5400-02 Dental-BSBP</t>
  </si>
  <si>
    <t xml:space="preserve">      5400-99 Dental-Unallocated</t>
  </si>
  <si>
    <t xml:space="preserve">   Total 5400-00 Dental Insurance</t>
  </si>
  <si>
    <t xml:space="preserve">   5500-00 Health Insurance Expense</t>
  </si>
  <si>
    <t xml:space="preserve">      5500-01 Health-MRS</t>
  </si>
  <si>
    <t xml:space="preserve">      5500-02 Health-BSBP</t>
  </si>
  <si>
    <t xml:space="preserve">      5500-99 Health-Unallocated</t>
  </si>
  <si>
    <t xml:space="preserve">   Total 5500-00 Health Insurance Expense</t>
  </si>
  <si>
    <t xml:space="preserve">   5600-00 Disability/Life Expense</t>
  </si>
  <si>
    <t xml:space="preserve">      5600-01 Disability-MRS</t>
  </si>
  <si>
    <t xml:space="preserve">      5600-02 Disability-BSBP</t>
  </si>
  <si>
    <t xml:space="preserve">      5600-99 Disability-Unallocated</t>
  </si>
  <si>
    <t xml:space="preserve">   Total 5600-00 Disability/Life Expense</t>
  </si>
  <si>
    <t xml:space="preserve">   5700-00 Professional Fees</t>
  </si>
  <si>
    <t xml:space="preserve">      5700-01 Professional-MRS</t>
  </si>
  <si>
    <t xml:space="preserve">      5700-02 Professional-BSBP</t>
  </si>
  <si>
    <t xml:space="preserve">      5700-99 Professional-Unallocated</t>
  </si>
  <si>
    <t xml:space="preserve">   Total 5700-00 Professional Fees</t>
  </si>
  <si>
    <t xml:space="preserve">   5950-00 Retirement</t>
  </si>
  <si>
    <t xml:space="preserve">      5950-01 Retirement-MRS</t>
  </si>
  <si>
    <t xml:space="preserve">      5950-02 Retirement-BSBP</t>
  </si>
  <si>
    <t xml:space="preserve">      5950-99 Retirement-Unallocated</t>
  </si>
  <si>
    <t xml:space="preserve">   Total 5950-00 Retirement</t>
  </si>
  <si>
    <t xml:space="preserve">   6000-00 Rent Expense</t>
  </si>
  <si>
    <t xml:space="preserve">      6000-01 Rent-MRS</t>
  </si>
  <si>
    <t xml:space="preserve">      6000-02 Rent-BSBP</t>
  </si>
  <si>
    <t xml:space="preserve">      6000-99 Rent-Unallocated</t>
  </si>
  <si>
    <t xml:space="preserve">   Total 6000-00 Rent Expense</t>
  </si>
  <si>
    <t xml:space="preserve">   6100-00 Communications</t>
  </si>
  <si>
    <t xml:space="preserve">      6100-01 Communication-MRS</t>
  </si>
  <si>
    <t xml:space="preserve">      6100-02 Communication-BSBP</t>
  </si>
  <si>
    <t xml:space="preserve">      6100-99 Communication-Unallocated</t>
  </si>
  <si>
    <t xml:space="preserve">   Total 6100-00 Communications</t>
  </si>
  <si>
    <t xml:space="preserve">   6200-00 Audit</t>
  </si>
  <si>
    <t xml:space="preserve">      6200-01 Audit-MRS</t>
  </si>
  <si>
    <t xml:space="preserve">      6200-02 Audit-BSBP</t>
  </si>
  <si>
    <t xml:space="preserve">   Total 6200-00 Audit</t>
  </si>
  <si>
    <t xml:space="preserve">   6300-00 Insurance</t>
  </si>
  <si>
    <t xml:space="preserve">      6300-01 Insurance-MRS</t>
  </si>
  <si>
    <t xml:space="preserve">      6300-02 Insurance-BSBP</t>
  </si>
  <si>
    <t xml:space="preserve">      6300-99 Insurance-Unallocated</t>
  </si>
  <si>
    <t xml:space="preserve">   Total 6300-00 Insurance</t>
  </si>
  <si>
    <t xml:space="preserve">   6400-00 Postage</t>
  </si>
  <si>
    <t xml:space="preserve">      6400-01 Postage-MRS</t>
  </si>
  <si>
    <t xml:space="preserve">      6400-02 Postage-BSBP</t>
  </si>
  <si>
    <t xml:space="preserve">      6400-99 Postage-Unallocated</t>
  </si>
  <si>
    <t xml:space="preserve">   Total 6400-00 Postage</t>
  </si>
  <si>
    <t xml:space="preserve">   6600-00 Supplies</t>
  </si>
  <si>
    <t xml:space="preserve">      6600-01 Supplies-MRS</t>
  </si>
  <si>
    <t xml:space="preserve">      6600-02 Supplies-BSBP</t>
  </si>
  <si>
    <t xml:space="preserve">   Total 6600-00 Supplies</t>
  </si>
  <si>
    <t xml:space="preserve">   6700-00 Statewide Data System License</t>
  </si>
  <si>
    <t xml:space="preserve">      6700-01 Data System-MRS</t>
  </si>
  <si>
    <t xml:space="preserve">      6700-02 Data System-BSBP</t>
  </si>
  <si>
    <t xml:space="preserve">      6700-99 Data System-Unallocated</t>
  </si>
  <si>
    <t xml:space="preserve">   Total 6700-00 Statewide Data System License</t>
  </si>
  <si>
    <t xml:space="preserve">   6800-00 Accomodations</t>
  </si>
  <si>
    <t xml:space="preserve">      6800-01 Accomodations-MRS</t>
  </si>
  <si>
    <t xml:space="preserve">      6800-02 Accomodations-BSBP</t>
  </si>
  <si>
    <t xml:space="preserve">      6800-99 Accomodations-Unallocated</t>
  </si>
  <si>
    <t xml:space="preserve">   Total 6800-00 Accomodations</t>
  </si>
  <si>
    <t xml:space="preserve">   6900-00 Training</t>
  </si>
  <si>
    <t xml:space="preserve">      6900-01 Training-MRS</t>
  </si>
  <si>
    <t xml:space="preserve">      6900-02 Training-BSBP</t>
  </si>
  <si>
    <t xml:space="preserve">      6900-99 Training-Unallocated</t>
  </si>
  <si>
    <t xml:space="preserve">   Total 6900-00 Training</t>
  </si>
  <si>
    <t xml:space="preserve">   7000-00 Travel</t>
  </si>
  <si>
    <t xml:space="preserve">      7000-01 Travel-MRS</t>
  </si>
  <si>
    <t xml:space="preserve">      7000-02 Travel-BSBP</t>
  </si>
  <si>
    <t xml:space="preserve">      7000-99 Travel-Unallocated</t>
  </si>
  <si>
    <t xml:space="preserve">   Total 7000-00 Travel</t>
  </si>
  <si>
    <t xml:space="preserve">   7100-00 Council Meetings</t>
  </si>
  <si>
    <t xml:space="preserve">      7100-01 Council Meeting-MRS</t>
  </si>
  <si>
    <t xml:space="preserve">      7100-02 Council Meeting-BSBP</t>
  </si>
  <si>
    <t xml:space="preserve">   Total 7100-00 Council Meetings</t>
  </si>
  <si>
    <t xml:space="preserve">   7300-00 SPIL Support</t>
  </si>
  <si>
    <t xml:space="preserve">      7300-01 SPIL-MRS</t>
  </si>
  <si>
    <t xml:space="preserve">      7300-02 SPIL-BSBP</t>
  </si>
  <si>
    <t xml:space="preserve">      7300-99 SPIL-Unallocated</t>
  </si>
  <si>
    <t xml:space="preserve">   Total 7300-00 SPIL Support</t>
  </si>
  <si>
    <t xml:space="preserve">   7900-00 Miscellaneous</t>
  </si>
  <si>
    <t xml:space="preserve">      7900-01 Misc-MRS</t>
  </si>
  <si>
    <t xml:space="preserve">      7900-02 Misc-BSBP</t>
  </si>
  <si>
    <t xml:space="preserve">      7900-99 Misc-Unallocated</t>
  </si>
  <si>
    <t xml:space="preserve">   Total 7900-00 Miscellaneous</t>
  </si>
  <si>
    <t>Total Expenditures</t>
  </si>
  <si>
    <t>Net Operating Revenue</t>
  </si>
  <si>
    <t>Net Revenue</t>
  </si>
  <si>
    <t>Wednesday, Jun 16, 2021 07:35:33 AM GMT-7 - Accrual Basis</t>
  </si>
  <si>
    <t>Michigan Statewide Independent Living Corp</t>
  </si>
  <si>
    <t xml:space="preserve">Budget vs. Actuals: FY2020_2021 - FY21 P&amp;L </t>
  </si>
  <si>
    <t>October 2020 -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</si>
</sst>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0" fontId="2" fillId="0" borderId="3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7"/>
  <sheetViews>
    <sheetView tabSelected="1" workbookViewId="0">
      <selection sqref="A1:AK1"/>
    </sheetView>
  </sheetViews>
  <sheetFormatPr defaultRowHeight="14.4" x14ac:dyDescent="0.3"/>
  <cols>
    <col min="1" max="1" width="40.44140625" customWidth="1"/>
    <col min="2" max="3" width="9.44140625" customWidth="1"/>
    <col min="4" max="4" width="11.21875" customWidth="1"/>
    <col min="5" max="5" width="7.77734375" customWidth="1"/>
    <col min="6" max="7" width="9.44140625" customWidth="1"/>
    <col min="8" max="8" width="11.21875" customWidth="1"/>
    <col min="9" max="9" width="7.77734375" customWidth="1"/>
    <col min="10" max="11" width="9.44140625" customWidth="1"/>
    <col min="12" max="12" width="10.33203125" customWidth="1"/>
    <col min="13" max="13" width="7.77734375" customWidth="1"/>
    <col min="14" max="15" width="9.44140625" customWidth="1"/>
    <col min="16" max="16" width="10.33203125" customWidth="1"/>
    <col min="17" max="19" width="9.44140625" customWidth="1"/>
    <col min="20" max="20" width="10.33203125" customWidth="1"/>
    <col min="21" max="21" width="7.77734375" customWidth="1"/>
    <col min="22" max="22" width="10.33203125" customWidth="1"/>
    <col min="23" max="23" width="9.44140625" customWidth="1"/>
    <col min="24" max="24" width="10.33203125" customWidth="1"/>
    <col min="25" max="25" width="7.77734375" customWidth="1"/>
    <col min="26" max="27" width="9.44140625" customWidth="1"/>
    <col min="28" max="28" width="11.21875" customWidth="1"/>
    <col min="29" max="30" width="10.33203125" customWidth="1"/>
    <col min="31" max="31" width="9.44140625" customWidth="1"/>
    <col min="32" max="32" width="10.33203125" customWidth="1"/>
    <col min="33" max="33" width="7.77734375" customWidth="1"/>
    <col min="34" max="35" width="10.33203125" customWidth="1"/>
    <col min="36" max="36" width="11.21875" customWidth="1"/>
    <col min="37" max="37" width="7.77734375" customWidth="1"/>
  </cols>
  <sheetData>
    <row r="1" spans="1:37" ht="17.399999999999999" x14ac:dyDescent="0.3">
      <c r="A1" s="15" t="s">
        <v>131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ht="17.399999999999999" x14ac:dyDescent="0.3">
      <c r="A2" s="15" t="s">
        <v>132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x14ac:dyDescent="0.3">
      <c r="A3" s="16" t="s">
        <v>133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5" spans="1:37" x14ac:dyDescent="0.3">
      <c r="A5" s="1"/>
      <c r="B5" s="11" t="s">
        <v>0</v>
      </c>
      <c r="C5" s="12"/>
      <c r="D5" s="12"/>
      <c r="E5" s="12"/>
      <c r="F5" s="11" t="s">
        <v>1</v>
      </c>
      <c r="G5" s="12"/>
      <c r="H5" s="12"/>
      <c r="I5" s="12"/>
      <c r="J5" s="11" t="s">
        <v>2</v>
      </c>
      <c r="K5" s="12"/>
      <c r="L5" s="12"/>
      <c r="M5" s="12"/>
      <c r="N5" s="11" t="s">
        <v>3</v>
      </c>
      <c r="O5" s="12"/>
      <c r="P5" s="12"/>
      <c r="Q5" s="12"/>
      <c r="R5" s="11" t="s">
        <v>4</v>
      </c>
      <c r="S5" s="12"/>
      <c r="T5" s="12"/>
      <c r="U5" s="12"/>
      <c r="V5" s="11" t="s">
        <v>5</v>
      </c>
      <c r="W5" s="12"/>
      <c r="X5" s="12"/>
      <c r="Y5" s="12"/>
      <c r="Z5" s="11" t="s">
        <v>6</v>
      </c>
      <c r="AA5" s="12"/>
      <c r="AB5" s="12"/>
      <c r="AC5" s="12"/>
      <c r="AD5" s="11" t="s">
        <v>7</v>
      </c>
      <c r="AE5" s="12"/>
      <c r="AF5" s="12"/>
      <c r="AG5" s="12"/>
      <c r="AH5" s="11" t="s">
        <v>8</v>
      </c>
      <c r="AI5" s="12"/>
      <c r="AJ5" s="12"/>
      <c r="AK5" s="12"/>
    </row>
    <row r="6" spans="1:37" ht="24.6" x14ac:dyDescent="0.3">
      <c r="A6" s="1"/>
      <c r="B6" s="2" t="s">
        <v>9</v>
      </c>
      <c r="C6" s="2" t="s">
        <v>10</v>
      </c>
      <c r="D6" s="2" t="s">
        <v>11</v>
      </c>
      <c r="E6" s="2" t="s">
        <v>12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9</v>
      </c>
      <c r="O6" s="2" t="s">
        <v>10</v>
      </c>
      <c r="P6" s="2" t="s">
        <v>11</v>
      </c>
      <c r="Q6" s="2" t="s">
        <v>12</v>
      </c>
      <c r="R6" s="2" t="s">
        <v>9</v>
      </c>
      <c r="S6" s="2" t="s">
        <v>10</v>
      </c>
      <c r="T6" s="2" t="s">
        <v>11</v>
      </c>
      <c r="U6" s="2" t="s">
        <v>12</v>
      </c>
      <c r="V6" s="2" t="s">
        <v>9</v>
      </c>
      <c r="W6" s="2" t="s">
        <v>10</v>
      </c>
      <c r="X6" s="2" t="s">
        <v>11</v>
      </c>
      <c r="Y6" s="2" t="s">
        <v>12</v>
      </c>
      <c r="Z6" s="2" t="s">
        <v>9</v>
      </c>
      <c r="AA6" s="2" t="s">
        <v>10</v>
      </c>
      <c r="AB6" s="2" t="s">
        <v>11</v>
      </c>
      <c r="AC6" s="2" t="s">
        <v>12</v>
      </c>
      <c r="AD6" s="2" t="s">
        <v>9</v>
      </c>
      <c r="AE6" s="2" t="s">
        <v>10</v>
      </c>
      <c r="AF6" s="2" t="s">
        <v>11</v>
      </c>
      <c r="AG6" s="2" t="s">
        <v>12</v>
      </c>
      <c r="AH6" s="2" t="s">
        <v>9</v>
      </c>
      <c r="AI6" s="2" t="s">
        <v>10</v>
      </c>
      <c r="AJ6" s="2" t="s">
        <v>11</v>
      </c>
      <c r="AK6" s="2" t="s">
        <v>12</v>
      </c>
    </row>
    <row r="7" spans="1:37" x14ac:dyDescent="0.3">
      <c r="A7" s="3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3">
      <c r="A8" s="3" t="s">
        <v>14</v>
      </c>
      <c r="B8" s="5">
        <f>9179.36</f>
        <v>9179.36</v>
      </c>
      <c r="C8" s="5">
        <f>18971.29</f>
        <v>18971.29</v>
      </c>
      <c r="D8" s="5">
        <f>(B8)-(C8)</f>
        <v>-9791.93</v>
      </c>
      <c r="E8" s="6">
        <f>IF(C8=0,"",(B8)/(C8))</f>
        <v>0.48385534141326186</v>
      </c>
      <c r="F8" s="5">
        <f>11923.79</f>
        <v>11923.79</v>
      </c>
      <c r="G8" s="5">
        <f>18971.29</f>
        <v>18971.29</v>
      </c>
      <c r="H8" s="5">
        <f>(F8)-(G8)</f>
        <v>-7047.5</v>
      </c>
      <c r="I8" s="6">
        <f>IF(G8=0,"",(F8)/(G8))</f>
        <v>0.62851761793742023</v>
      </c>
      <c r="J8" s="5">
        <f>16669.37</f>
        <v>16669.37</v>
      </c>
      <c r="K8" s="5">
        <f>18971.29</f>
        <v>18971.29</v>
      </c>
      <c r="L8" s="5">
        <f>(J8)-(K8)</f>
        <v>-2301.9200000000019</v>
      </c>
      <c r="M8" s="6">
        <f>IF(K8=0,"",(J8)/(K8))</f>
        <v>0.87866296914969921</v>
      </c>
      <c r="N8" s="5">
        <f>17444.48</f>
        <v>17444.48</v>
      </c>
      <c r="O8" s="5">
        <f>18971.29</f>
        <v>18971.29</v>
      </c>
      <c r="P8" s="5">
        <f>(N8)-(O8)</f>
        <v>-1526.8100000000013</v>
      </c>
      <c r="Q8" s="6">
        <f>IF(O8=0,"",(N8)/(O8))</f>
        <v>0.91951996938531844</v>
      </c>
      <c r="R8" s="5">
        <f>12488.75</f>
        <v>12488.75</v>
      </c>
      <c r="S8" s="5">
        <f>18971.29</f>
        <v>18971.29</v>
      </c>
      <c r="T8" s="5">
        <f>(R8)-(S8)</f>
        <v>-6482.5400000000009</v>
      </c>
      <c r="U8" s="6">
        <f>IF(S8=0,"",(R8)/(S8))</f>
        <v>0.6582973535273563</v>
      </c>
      <c r="V8" s="5">
        <f>12542.75</f>
        <v>12542.75</v>
      </c>
      <c r="W8" s="5">
        <f>18971.29</f>
        <v>18971.29</v>
      </c>
      <c r="X8" s="5">
        <f>(V8)-(W8)</f>
        <v>-6428.5400000000009</v>
      </c>
      <c r="Y8" s="6">
        <f>IF(W8=0,"",(V8)/(W8))</f>
        <v>0.66114375986029417</v>
      </c>
      <c r="Z8" s="5">
        <f>10467.03</f>
        <v>10467.030000000001</v>
      </c>
      <c r="AA8" s="5">
        <f>18971.29</f>
        <v>18971.29</v>
      </c>
      <c r="AB8" s="5">
        <f>(Z8)-(AA8)</f>
        <v>-8504.26</v>
      </c>
      <c r="AC8" s="6">
        <f>IF(AA8=0,"",(Z8)/(AA8))</f>
        <v>0.55173000887129975</v>
      </c>
      <c r="AD8" s="5">
        <f>13380.29</f>
        <v>13380.29</v>
      </c>
      <c r="AE8" s="5">
        <f>18971.29</f>
        <v>18971.29</v>
      </c>
      <c r="AF8" s="5">
        <f>(AD8)-(AE8)</f>
        <v>-5591</v>
      </c>
      <c r="AG8" s="6">
        <f>IF(AE8=0,"",(AD8)/(AE8))</f>
        <v>0.70529152208415979</v>
      </c>
      <c r="AH8" s="5">
        <f t="shared" ref="AH8:AI12" si="0">(((((((B8)+(F8))+(J8))+(N8))+(R8))+(V8))+(Z8))+(AD8)</f>
        <v>104095.82</v>
      </c>
      <c r="AI8" s="5">
        <f t="shared" si="0"/>
        <v>151770.32000000004</v>
      </c>
      <c r="AJ8" s="5">
        <f>(AH8)-(AI8)</f>
        <v>-47674.500000000029</v>
      </c>
      <c r="AK8" s="6">
        <f>IF(AI8=0,"",(AH8)/(AI8))</f>
        <v>0.68587731777860117</v>
      </c>
    </row>
    <row r="9" spans="1:37" x14ac:dyDescent="0.3">
      <c r="A9" s="3" t="s">
        <v>15</v>
      </c>
      <c r="B9" s="5">
        <f>4942.72</f>
        <v>4942.72</v>
      </c>
      <c r="C9" s="5">
        <f>10215.31</f>
        <v>10215.31</v>
      </c>
      <c r="D9" s="5">
        <f>(B9)-(C9)</f>
        <v>-5272.5899999999992</v>
      </c>
      <c r="E9" s="6">
        <f>IF(C9=0,"",(B9)/(C9))</f>
        <v>0.48385413658518445</v>
      </c>
      <c r="F9" s="5">
        <f>6210.51</f>
        <v>6210.51</v>
      </c>
      <c r="G9" s="5">
        <f>10215.31</f>
        <v>10215.31</v>
      </c>
      <c r="H9" s="5">
        <f>(F9)-(G9)</f>
        <v>-4004.7999999999993</v>
      </c>
      <c r="I9" s="6">
        <f>IF(G9=0,"",(F9)/(G9))</f>
        <v>0.60796099188375097</v>
      </c>
      <c r="J9" s="5">
        <f>8975.8</f>
        <v>8975.7999999999993</v>
      </c>
      <c r="K9" s="5">
        <f>10215.31</f>
        <v>10215.31</v>
      </c>
      <c r="L9" s="5">
        <f>(J9)-(K9)</f>
        <v>-1239.5100000000002</v>
      </c>
      <c r="M9" s="6">
        <f>IF(K9=0,"",(J9)/(K9))</f>
        <v>0.87866153841635741</v>
      </c>
      <c r="N9" s="5">
        <f>9393.18</f>
        <v>9393.18</v>
      </c>
      <c r="O9" s="5">
        <f>10215.31</f>
        <v>10215.31</v>
      </c>
      <c r="P9" s="5">
        <f>(N9)-(O9)</f>
        <v>-822.1299999999992</v>
      </c>
      <c r="Q9" s="6">
        <f>IF(O9=0,"",(N9)/(O9))</f>
        <v>0.919519818781809</v>
      </c>
      <c r="R9" s="5">
        <f>6724.73</f>
        <v>6724.73</v>
      </c>
      <c r="S9" s="5">
        <f>10215.31</f>
        <v>10215.31</v>
      </c>
      <c r="T9" s="5">
        <f>(R9)-(S9)</f>
        <v>-3490.58</v>
      </c>
      <c r="U9" s="6">
        <f>IF(S9=0,"",(R9)/(S9))</f>
        <v>0.65829916076947248</v>
      </c>
      <c r="V9" s="5">
        <f>6753.8</f>
        <v>6753.8</v>
      </c>
      <c r="W9" s="5">
        <f>10215.31</f>
        <v>10215.31</v>
      </c>
      <c r="X9" s="5">
        <f>(V9)-(W9)</f>
        <v>-3461.5099999999993</v>
      </c>
      <c r="Y9" s="6">
        <f>IF(W9=0,"",(V9)/(W9))</f>
        <v>0.66114488938661675</v>
      </c>
      <c r="Z9" s="5">
        <f>5636.1</f>
        <v>5636.1</v>
      </c>
      <c r="AA9" s="5">
        <f>10215.31</f>
        <v>10215.31</v>
      </c>
      <c r="AB9" s="5">
        <f>(Z9)-(AA9)</f>
        <v>-4579.2099999999991</v>
      </c>
      <c r="AC9" s="6">
        <f>IF(AA9=0,"",(Z9)/(AA9))</f>
        <v>0.55173068658709334</v>
      </c>
      <c r="AD9" s="5">
        <f>7204.79</f>
        <v>7204.79</v>
      </c>
      <c r="AE9" s="5">
        <f>10215.31</f>
        <v>10215.31</v>
      </c>
      <c r="AF9" s="5">
        <f>(AD9)-(AE9)</f>
        <v>-3010.5199999999995</v>
      </c>
      <c r="AG9" s="6">
        <f>IF(AE9=0,"",(AD9)/(AE9))</f>
        <v>0.70529332932627598</v>
      </c>
      <c r="AH9" s="5">
        <f t="shared" si="0"/>
        <v>55841.630000000005</v>
      </c>
      <c r="AI9" s="5">
        <f t="shared" si="0"/>
        <v>81722.48</v>
      </c>
      <c r="AJ9" s="5">
        <f>(AH9)-(AI9)</f>
        <v>-25880.849999999991</v>
      </c>
      <c r="AK9" s="6">
        <f>IF(AI9=0,"",(AH9)/(AI9))</f>
        <v>0.68330806896707008</v>
      </c>
    </row>
    <row r="10" spans="1:37" x14ac:dyDescent="0.3">
      <c r="A10" s="3" t="s">
        <v>16</v>
      </c>
      <c r="B10" s="5">
        <f>9.75</f>
        <v>9.75</v>
      </c>
      <c r="C10" s="4"/>
      <c r="D10" s="5">
        <f>(B10)-(C10)</f>
        <v>9.75</v>
      </c>
      <c r="E10" s="6" t="str">
        <f>IF(C10=0,"",(B10)/(C10))</f>
        <v/>
      </c>
      <c r="F10" s="5">
        <f>6.58</f>
        <v>6.58</v>
      </c>
      <c r="G10" s="4"/>
      <c r="H10" s="5">
        <f>(F10)-(G10)</f>
        <v>6.58</v>
      </c>
      <c r="I10" s="6" t="str">
        <f>IF(G10=0,"",(F10)/(G10))</f>
        <v/>
      </c>
      <c r="J10" s="5">
        <f>8.01</f>
        <v>8.01</v>
      </c>
      <c r="K10" s="4"/>
      <c r="L10" s="5">
        <f>(J10)-(K10)</f>
        <v>8.01</v>
      </c>
      <c r="M10" s="6" t="str">
        <f>IF(K10=0,"",(J10)/(K10))</f>
        <v/>
      </c>
      <c r="N10" s="5">
        <f>4.78</f>
        <v>4.78</v>
      </c>
      <c r="O10" s="4"/>
      <c r="P10" s="5">
        <f>(N10)-(O10)</f>
        <v>4.78</v>
      </c>
      <c r="Q10" s="6" t="str">
        <f>IF(O10=0,"",(N10)/(O10))</f>
        <v/>
      </c>
      <c r="R10" s="5">
        <f>3.15</f>
        <v>3.15</v>
      </c>
      <c r="S10" s="4"/>
      <c r="T10" s="5">
        <f>(R10)-(S10)</f>
        <v>3.15</v>
      </c>
      <c r="U10" s="6" t="str">
        <f>IF(S10=0,"",(R10)/(S10))</f>
        <v/>
      </c>
      <c r="V10" s="5">
        <f>4.46</f>
        <v>4.46</v>
      </c>
      <c r="W10" s="4"/>
      <c r="X10" s="5">
        <f>(V10)-(W10)</f>
        <v>4.46</v>
      </c>
      <c r="Y10" s="6" t="str">
        <f>IF(W10=0,"",(V10)/(W10))</f>
        <v/>
      </c>
      <c r="Z10" s="5">
        <f>3.76</f>
        <v>3.76</v>
      </c>
      <c r="AA10" s="4"/>
      <c r="AB10" s="5">
        <f>(Z10)-(AA10)</f>
        <v>3.76</v>
      </c>
      <c r="AC10" s="6" t="str">
        <f>IF(AA10=0,"",(Z10)/(AA10))</f>
        <v/>
      </c>
      <c r="AD10" s="5">
        <f>3.74</f>
        <v>3.74</v>
      </c>
      <c r="AE10" s="4"/>
      <c r="AF10" s="5">
        <f>(AD10)-(AE10)</f>
        <v>3.74</v>
      </c>
      <c r="AG10" s="6" t="str">
        <f>IF(AE10=0,"",(AD10)/(AE10))</f>
        <v/>
      </c>
      <c r="AH10" s="5">
        <f t="shared" si="0"/>
        <v>44.23</v>
      </c>
      <c r="AI10" s="5">
        <f t="shared" si="0"/>
        <v>0</v>
      </c>
      <c r="AJ10" s="5">
        <f>(AH10)-(AI10)</f>
        <v>44.23</v>
      </c>
      <c r="AK10" s="6" t="str">
        <f>IF(AI10=0,"",(AH10)/(AI10))</f>
        <v/>
      </c>
    </row>
    <row r="11" spans="1:37" x14ac:dyDescent="0.3">
      <c r="A11" s="3" t="s">
        <v>17</v>
      </c>
      <c r="B11" s="7">
        <f>((B8)+(B9))+(B10)</f>
        <v>14131.830000000002</v>
      </c>
      <c r="C11" s="7">
        <f>((C8)+(C9))+(C10)</f>
        <v>29186.6</v>
      </c>
      <c r="D11" s="7">
        <f>(B11)-(C11)</f>
        <v>-15054.769999999997</v>
      </c>
      <c r="E11" s="8">
        <f>IF(C11=0,"",(B11)/(C11))</f>
        <v>0.48418897713334208</v>
      </c>
      <c r="F11" s="7">
        <f>((F8)+(F9))+(F10)</f>
        <v>18140.880000000005</v>
      </c>
      <c r="G11" s="7">
        <f>((G8)+(G9))+(G10)</f>
        <v>29186.6</v>
      </c>
      <c r="H11" s="7">
        <f>(F11)-(G11)</f>
        <v>-11045.719999999994</v>
      </c>
      <c r="I11" s="8">
        <f>IF(G11=0,"",(F11)/(G11))</f>
        <v>0.62154824474245052</v>
      </c>
      <c r="J11" s="7">
        <f>((J8)+(J9))+(J10)</f>
        <v>25653.179999999997</v>
      </c>
      <c r="K11" s="7">
        <f>((K8)+(K9))+(K10)</f>
        <v>29186.6</v>
      </c>
      <c r="L11" s="7">
        <f>(J11)-(K11)</f>
        <v>-3533.4200000000019</v>
      </c>
      <c r="M11" s="8">
        <f>IF(K11=0,"",(J11)/(K11))</f>
        <v>0.87893690940363034</v>
      </c>
      <c r="N11" s="7">
        <f>((N8)+(N9))+(N10)</f>
        <v>26842.44</v>
      </c>
      <c r="O11" s="7">
        <f>((O8)+(O9))+(O10)</f>
        <v>29186.6</v>
      </c>
      <c r="P11" s="7">
        <f>(N11)-(O11)</f>
        <v>-2344.16</v>
      </c>
      <c r="Q11" s="8">
        <f>IF(O11=0,"",(N11)/(O11))</f>
        <v>0.91968369046069087</v>
      </c>
      <c r="R11" s="7">
        <f>((R8)+(R9))+(R10)</f>
        <v>19216.63</v>
      </c>
      <c r="S11" s="7">
        <f>((S8)+(S9))+(S10)</f>
        <v>29186.6</v>
      </c>
      <c r="T11" s="7">
        <f>(R11)-(S11)</f>
        <v>-9969.9699999999975</v>
      </c>
      <c r="U11" s="8">
        <f>IF(S11=0,"",(R11)/(S11))</f>
        <v>0.6584059123022209</v>
      </c>
      <c r="V11" s="7">
        <f>((V8)+(V9))+(V10)</f>
        <v>19301.009999999998</v>
      </c>
      <c r="W11" s="7">
        <f>((W8)+(W9))+(W10)</f>
        <v>29186.6</v>
      </c>
      <c r="X11" s="7">
        <f>(V11)-(W11)</f>
        <v>-9885.59</v>
      </c>
      <c r="Y11" s="8">
        <f>IF(W11=0,"",(V11)/(W11))</f>
        <v>0.66129696504560309</v>
      </c>
      <c r="Z11" s="7">
        <f>((Z8)+(Z9))+(Z10)</f>
        <v>16106.890000000001</v>
      </c>
      <c r="AA11" s="7">
        <f>((AA8)+(AA9))+(AA10)</f>
        <v>29186.6</v>
      </c>
      <c r="AB11" s="7">
        <f>(Z11)-(AA11)</f>
        <v>-13079.709999999997</v>
      </c>
      <c r="AC11" s="8">
        <f>IF(AA11=0,"",(Z11)/(AA11))</f>
        <v>0.55185907231400722</v>
      </c>
      <c r="AD11" s="7">
        <f>((AD8)+(AD9))+(AD10)</f>
        <v>20588.820000000003</v>
      </c>
      <c r="AE11" s="7">
        <f>((AE8)+(AE9))+(AE10)</f>
        <v>29186.6</v>
      </c>
      <c r="AF11" s="7">
        <f>(AD11)-(AE11)</f>
        <v>-8597.7799999999952</v>
      </c>
      <c r="AG11" s="8">
        <f>IF(AE11=0,"",(AD11)/(AE11))</f>
        <v>0.70542029561511121</v>
      </c>
      <c r="AH11" s="7">
        <f t="shared" si="0"/>
        <v>159981.68000000002</v>
      </c>
      <c r="AI11" s="7">
        <f t="shared" si="0"/>
        <v>233492.80000000002</v>
      </c>
      <c r="AJ11" s="7">
        <f>(AH11)-(AI11)</f>
        <v>-73511.12</v>
      </c>
      <c r="AK11" s="8">
        <f>IF(AI11=0,"",(AH11)/(AI11))</f>
        <v>0.68516750837713203</v>
      </c>
    </row>
    <row r="12" spans="1:37" x14ac:dyDescent="0.3">
      <c r="A12" s="3" t="s">
        <v>18</v>
      </c>
      <c r="B12" s="7">
        <f>(B11)-(0)</f>
        <v>14131.830000000002</v>
      </c>
      <c r="C12" s="7">
        <f>(C11)-(0)</f>
        <v>29186.6</v>
      </c>
      <c r="D12" s="7">
        <f>(B12)-(C12)</f>
        <v>-15054.769999999997</v>
      </c>
      <c r="E12" s="8">
        <f>IF(C12=0,"",(B12)/(C12))</f>
        <v>0.48418897713334208</v>
      </c>
      <c r="F12" s="7">
        <f>(F11)-(0)</f>
        <v>18140.880000000005</v>
      </c>
      <c r="G12" s="7">
        <f>(G11)-(0)</f>
        <v>29186.6</v>
      </c>
      <c r="H12" s="7">
        <f>(F12)-(G12)</f>
        <v>-11045.719999999994</v>
      </c>
      <c r="I12" s="8">
        <f>IF(G12=0,"",(F12)/(G12))</f>
        <v>0.62154824474245052</v>
      </c>
      <c r="J12" s="7">
        <f>(J11)-(0)</f>
        <v>25653.179999999997</v>
      </c>
      <c r="K12" s="7">
        <f>(K11)-(0)</f>
        <v>29186.6</v>
      </c>
      <c r="L12" s="7">
        <f>(J12)-(K12)</f>
        <v>-3533.4200000000019</v>
      </c>
      <c r="M12" s="8">
        <f>IF(K12=0,"",(J12)/(K12))</f>
        <v>0.87893690940363034</v>
      </c>
      <c r="N12" s="7">
        <f>(N11)-(0)</f>
        <v>26842.44</v>
      </c>
      <c r="O12" s="7">
        <f>(O11)-(0)</f>
        <v>29186.6</v>
      </c>
      <c r="P12" s="7">
        <f>(N12)-(O12)</f>
        <v>-2344.16</v>
      </c>
      <c r="Q12" s="8">
        <f>IF(O12=0,"",(N12)/(O12))</f>
        <v>0.91968369046069087</v>
      </c>
      <c r="R12" s="7">
        <f>(R11)-(0)</f>
        <v>19216.63</v>
      </c>
      <c r="S12" s="7">
        <f>(S11)-(0)</f>
        <v>29186.6</v>
      </c>
      <c r="T12" s="7">
        <f>(R12)-(S12)</f>
        <v>-9969.9699999999975</v>
      </c>
      <c r="U12" s="8">
        <f>IF(S12=0,"",(R12)/(S12))</f>
        <v>0.6584059123022209</v>
      </c>
      <c r="V12" s="7">
        <f>(V11)-(0)</f>
        <v>19301.009999999998</v>
      </c>
      <c r="W12" s="7">
        <f>(W11)-(0)</f>
        <v>29186.6</v>
      </c>
      <c r="X12" s="7">
        <f>(V12)-(W12)</f>
        <v>-9885.59</v>
      </c>
      <c r="Y12" s="8">
        <f>IF(W12=0,"",(V12)/(W12))</f>
        <v>0.66129696504560309</v>
      </c>
      <c r="Z12" s="7">
        <f>(Z11)-(0)</f>
        <v>16106.890000000001</v>
      </c>
      <c r="AA12" s="7">
        <f>(AA11)-(0)</f>
        <v>29186.6</v>
      </c>
      <c r="AB12" s="7">
        <f>(Z12)-(AA12)</f>
        <v>-13079.709999999997</v>
      </c>
      <c r="AC12" s="8">
        <f>IF(AA12=0,"",(Z12)/(AA12))</f>
        <v>0.55185907231400722</v>
      </c>
      <c r="AD12" s="7">
        <f>(AD11)-(0)</f>
        <v>20588.820000000003</v>
      </c>
      <c r="AE12" s="7">
        <f>(AE11)-(0)</f>
        <v>29186.6</v>
      </c>
      <c r="AF12" s="7">
        <f>(AD12)-(AE12)</f>
        <v>-8597.7799999999952</v>
      </c>
      <c r="AG12" s="8">
        <f>IF(AE12=0,"",(AD12)/(AE12))</f>
        <v>0.70542029561511121</v>
      </c>
      <c r="AH12" s="7">
        <f t="shared" si="0"/>
        <v>159981.68000000002</v>
      </c>
      <c r="AI12" s="7">
        <f t="shared" si="0"/>
        <v>233492.80000000002</v>
      </c>
      <c r="AJ12" s="7">
        <f>(AH12)-(AI12)</f>
        <v>-73511.12</v>
      </c>
      <c r="AK12" s="8">
        <f>IF(AI12=0,"",(AH12)/(AI12))</f>
        <v>0.68516750837713203</v>
      </c>
    </row>
    <row r="13" spans="1:37" x14ac:dyDescent="0.3">
      <c r="A13" s="3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3">
      <c r="A14" s="3" t="s">
        <v>20</v>
      </c>
      <c r="B14" s="4"/>
      <c r="C14" s="4"/>
      <c r="D14" s="5">
        <f t="shared" ref="D14:D45" si="1">(B14)-(C14)</f>
        <v>0</v>
      </c>
      <c r="E14" s="6" t="str">
        <f t="shared" ref="E14:E45" si="2">IF(C14=0,"",(B14)/(C14))</f>
        <v/>
      </c>
      <c r="F14" s="4"/>
      <c r="G14" s="4"/>
      <c r="H14" s="5">
        <f t="shared" ref="H14:H45" si="3">(F14)-(G14)</f>
        <v>0</v>
      </c>
      <c r="I14" s="6" t="str">
        <f t="shared" ref="I14:I45" si="4">IF(G14=0,"",(F14)/(G14))</f>
        <v/>
      </c>
      <c r="J14" s="4"/>
      <c r="K14" s="4"/>
      <c r="L14" s="5">
        <f t="shared" ref="L14:L45" si="5">(J14)-(K14)</f>
        <v>0</v>
      </c>
      <c r="M14" s="6" t="str">
        <f t="shared" ref="M14:M45" si="6">IF(K14=0,"",(J14)/(K14))</f>
        <v/>
      </c>
      <c r="N14" s="4"/>
      <c r="O14" s="4"/>
      <c r="P14" s="5">
        <f t="shared" ref="P14:P45" si="7">(N14)-(O14)</f>
        <v>0</v>
      </c>
      <c r="Q14" s="6" t="str">
        <f t="shared" ref="Q14:Q45" si="8">IF(O14=0,"",(N14)/(O14))</f>
        <v/>
      </c>
      <c r="R14" s="4"/>
      <c r="S14" s="4"/>
      <c r="T14" s="5">
        <f t="shared" ref="T14:T45" si="9">(R14)-(S14)</f>
        <v>0</v>
      </c>
      <c r="U14" s="6" t="str">
        <f t="shared" ref="U14:U45" si="10">IF(S14=0,"",(R14)/(S14))</f>
        <v/>
      </c>
      <c r="V14" s="4"/>
      <c r="W14" s="4"/>
      <c r="X14" s="5">
        <f t="shared" ref="X14:X45" si="11">(V14)-(W14)</f>
        <v>0</v>
      </c>
      <c r="Y14" s="6" t="str">
        <f t="shared" ref="Y14:Y45" si="12">IF(W14=0,"",(V14)/(W14))</f>
        <v/>
      </c>
      <c r="Z14" s="4"/>
      <c r="AA14" s="4"/>
      <c r="AB14" s="5">
        <f t="shared" ref="AB14:AB45" si="13">(Z14)-(AA14)</f>
        <v>0</v>
      </c>
      <c r="AC14" s="6" t="str">
        <f t="shared" ref="AC14:AC45" si="14">IF(AA14=0,"",(Z14)/(AA14))</f>
        <v/>
      </c>
      <c r="AD14" s="4"/>
      <c r="AE14" s="4"/>
      <c r="AF14" s="5">
        <f t="shared" ref="AF14:AF45" si="15">(AD14)-(AE14)</f>
        <v>0</v>
      </c>
      <c r="AG14" s="6" t="str">
        <f t="shared" ref="AG14:AG45" si="16">IF(AE14=0,"",(AD14)/(AE14))</f>
        <v/>
      </c>
      <c r="AH14" s="5">
        <f t="shared" ref="AH14:AH45" si="17">(((((((B14)+(F14))+(J14))+(N14))+(R14))+(V14))+(Z14))+(AD14)</f>
        <v>0</v>
      </c>
      <c r="AI14" s="5">
        <f t="shared" ref="AI14:AI45" si="18">(((((((C14)+(G14))+(K14))+(O14))+(S14))+(W14))+(AA14))+(AE14)</f>
        <v>0</v>
      </c>
      <c r="AJ14" s="5">
        <f t="shared" ref="AJ14:AJ45" si="19">(AH14)-(AI14)</f>
        <v>0</v>
      </c>
      <c r="AK14" s="6" t="str">
        <f t="shared" ref="AK14:AK45" si="20">IF(AI14=0,"",(AH14)/(AI14))</f>
        <v/>
      </c>
    </row>
    <row r="15" spans="1:37" x14ac:dyDescent="0.3">
      <c r="A15" s="3" t="s">
        <v>21</v>
      </c>
      <c r="B15" s="5">
        <f>4225.73</f>
        <v>4225.7299999999996</v>
      </c>
      <c r="C15" s="5">
        <f>7691.78</f>
        <v>7691.78</v>
      </c>
      <c r="D15" s="5">
        <f t="shared" si="1"/>
        <v>-3466.05</v>
      </c>
      <c r="E15" s="6">
        <f t="shared" si="2"/>
        <v>0.5493825876455124</v>
      </c>
      <c r="F15" s="5">
        <f>7042.88</f>
        <v>7042.88</v>
      </c>
      <c r="G15" s="5">
        <f>7691.78</f>
        <v>7691.78</v>
      </c>
      <c r="H15" s="5">
        <f t="shared" si="3"/>
        <v>-648.89999999999964</v>
      </c>
      <c r="I15" s="6">
        <f t="shared" si="4"/>
        <v>0.91563721271279219</v>
      </c>
      <c r="J15" s="5">
        <f>10564.32</f>
        <v>10564.32</v>
      </c>
      <c r="K15" s="5">
        <f>7691.78</f>
        <v>7691.78</v>
      </c>
      <c r="L15" s="5">
        <f t="shared" si="5"/>
        <v>2872.54</v>
      </c>
      <c r="M15" s="6">
        <f t="shared" si="6"/>
        <v>1.3734558190691881</v>
      </c>
      <c r="N15" s="5">
        <f>7042.88</f>
        <v>7042.88</v>
      </c>
      <c r="O15" s="5">
        <f>7691.78</f>
        <v>7691.78</v>
      </c>
      <c r="P15" s="5">
        <f t="shared" si="7"/>
        <v>-648.89999999999964</v>
      </c>
      <c r="Q15" s="6">
        <f t="shared" si="8"/>
        <v>0.91563721271279219</v>
      </c>
      <c r="R15" s="5">
        <f>7042.88</f>
        <v>7042.88</v>
      </c>
      <c r="S15" s="5">
        <f>7691.78</f>
        <v>7691.78</v>
      </c>
      <c r="T15" s="5">
        <f t="shared" si="9"/>
        <v>-648.89999999999964</v>
      </c>
      <c r="U15" s="6">
        <f t="shared" si="10"/>
        <v>0.91563721271279219</v>
      </c>
      <c r="V15" s="5">
        <f>7042.88</f>
        <v>7042.88</v>
      </c>
      <c r="W15" s="5">
        <f>7691.78</f>
        <v>7691.78</v>
      </c>
      <c r="X15" s="5">
        <f t="shared" si="11"/>
        <v>-648.89999999999964</v>
      </c>
      <c r="Y15" s="6">
        <f t="shared" si="12"/>
        <v>0.91563721271279219</v>
      </c>
      <c r="Z15" s="5">
        <f>7042.88</f>
        <v>7042.88</v>
      </c>
      <c r="AA15" s="5">
        <f>7691.78</f>
        <v>7691.78</v>
      </c>
      <c r="AB15" s="5">
        <f t="shared" si="13"/>
        <v>-648.89999999999964</v>
      </c>
      <c r="AC15" s="6">
        <f t="shared" si="14"/>
        <v>0.91563721271279219</v>
      </c>
      <c r="AD15" s="5">
        <f>7043.78</f>
        <v>7043.78</v>
      </c>
      <c r="AE15" s="5">
        <f>7691.78</f>
        <v>7691.78</v>
      </c>
      <c r="AF15" s="5">
        <f t="shared" si="15"/>
        <v>-648</v>
      </c>
      <c r="AG15" s="6">
        <f t="shared" si="16"/>
        <v>0.91575422073954271</v>
      </c>
      <c r="AH15" s="5">
        <f t="shared" si="17"/>
        <v>57048.229999999996</v>
      </c>
      <c r="AI15" s="5">
        <f t="shared" si="18"/>
        <v>61534.239999999998</v>
      </c>
      <c r="AJ15" s="5">
        <f t="shared" si="19"/>
        <v>-4486.010000000002</v>
      </c>
      <c r="AK15" s="6">
        <f t="shared" si="20"/>
        <v>0.92709733637727543</v>
      </c>
    </row>
    <row r="16" spans="1:37" x14ac:dyDescent="0.3">
      <c r="A16" s="3" t="s">
        <v>22</v>
      </c>
      <c r="B16" s="5">
        <f>2275.39</f>
        <v>2275.39</v>
      </c>
      <c r="C16" s="5">
        <f>4141.73</f>
        <v>4141.7299999999996</v>
      </c>
      <c r="D16" s="5">
        <f t="shared" si="1"/>
        <v>-1866.3399999999997</v>
      </c>
      <c r="E16" s="6">
        <f t="shared" si="2"/>
        <v>0.54938153863240724</v>
      </c>
      <c r="F16" s="5">
        <f>3792.32</f>
        <v>3792.32</v>
      </c>
      <c r="G16" s="5">
        <f>4141.73</f>
        <v>4141.7299999999996</v>
      </c>
      <c r="H16" s="5">
        <f t="shared" si="3"/>
        <v>-349.4099999999994</v>
      </c>
      <c r="I16" s="6">
        <f t="shared" si="4"/>
        <v>0.91563670253734564</v>
      </c>
      <c r="J16" s="5">
        <f>5688.48</f>
        <v>5688.48</v>
      </c>
      <c r="K16" s="5">
        <f>4141.73</f>
        <v>4141.7299999999996</v>
      </c>
      <c r="L16" s="5">
        <f t="shared" si="5"/>
        <v>1546.75</v>
      </c>
      <c r="M16" s="6">
        <f t="shared" si="6"/>
        <v>1.3734550538060184</v>
      </c>
      <c r="N16" s="5">
        <f>3792.32</f>
        <v>3792.32</v>
      </c>
      <c r="O16" s="5">
        <f>4141.73</f>
        <v>4141.7299999999996</v>
      </c>
      <c r="P16" s="5">
        <f t="shared" si="7"/>
        <v>-349.4099999999994</v>
      </c>
      <c r="Q16" s="6">
        <f t="shared" si="8"/>
        <v>0.91563670253734564</v>
      </c>
      <c r="R16" s="5">
        <f>3792.32</f>
        <v>3792.32</v>
      </c>
      <c r="S16" s="5">
        <f>4141.73</f>
        <v>4141.7299999999996</v>
      </c>
      <c r="T16" s="5">
        <f t="shared" si="9"/>
        <v>-349.4099999999994</v>
      </c>
      <c r="U16" s="6">
        <f t="shared" si="10"/>
        <v>0.91563670253734564</v>
      </c>
      <c r="V16" s="5">
        <f>3792.32</f>
        <v>3792.32</v>
      </c>
      <c r="W16" s="5">
        <f>4141.73</f>
        <v>4141.7299999999996</v>
      </c>
      <c r="X16" s="5">
        <f t="shared" si="11"/>
        <v>-349.4099999999994</v>
      </c>
      <c r="Y16" s="6">
        <f t="shared" si="12"/>
        <v>0.91563670253734564</v>
      </c>
      <c r="Z16" s="5">
        <f>3792.32</f>
        <v>3792.32</v>
      </c>
      <c r="AA16" s="5">
        <f>4141.73</f>
        <v>4141.7299999999996</v>
      </c>
      <c r="AB16" s="5">
        <f t="shared" si="13"/>
        <v>-349.4099999999994</v>
      </c>
      <c r="AC16" s="6">
        <f t="shared" si="14"/>
        <v>0.91563670253734564</v>
      </c>
      <c r="AD16" s="5">
        <f>3792.32</f>
        <v>3792.32</v>
      </c>
      <c r="AE16" s="5">
        <f>4141.73</f>
        <v>4141.7299999999996</v>
      </c>
      <c r="AF16" s="5">
        <f t="shared" si="15"/>
        <v>-349.4099999999994</v>
      </c>
      <c r="AG16" s="6">
        <f t="shared" si="16"/>
        <v>0.91563670253734564</v>
      </c>
      <c r="AH16" s="5">
        <f t="shared" si="17"/>
        <v>30717.789999999997</v>
      </c>
      <c r="AI16" s="5">
        <f t="shared" si="18"/>
        <v>33133.839999999997</v>
      </c>
      <c r="AJ16" s="5">
        <f t="shared" si="19"/>
        <v>-2416.0499999999993</v>
      </c>
      <c r="AK16" s="6">
        <f t="shared" si="20"/>
        <v>0.92708210095781229</v>
      </c>
    </row>
    <row r="17" spans="1:37" x14ac:dyDescent="0.3">
      <c r="A17" s="3" t="s">
        <v>23</v>
      </c>
      <c r="B17" s="5">
        <f>0</f>
        <v>0</v>
      </c>
      <c r="C17" s="4"/>
      <c r="D17" s="5">
        <f t="shared" si="1"/>
        <v>0</v>
      </c>
      <c r="E17" s="6" t="str">
        <f t="shared" si="2"/>
        <v/>
      </c>
      <c r="F17" s="5">
        <f>0</f>
        <v>0</v>
      </c>
      <c r="G17" s="4"/>
      <c r="H17" s="5">
        <f t="shared" si="3"/>
        <v>0</v>
      </c>
      <c r="I17" s="6" t="str">
        <f t="shared" si="4"/>
        <v/>
      </c>
      <c r="J17" s="5">
        <f>0</f>
        <v>0</v>
      </c>
      <c r="K17" s="4"/>
      <c r="L17" s="5">
        <f t="shared" si="5"/>
        <v>0</v>
      </c>
      <c r="M17" s="6" t="str">
        <f t="shared" si="6"/>
        <v/>
      </c>
      <c r="N17" s="5">
        <f>0</f>
        <v>0</v>
      </c>
      <c r="O17" s="4"/>
      <c r="P17" s="5">
        <f t="shared" si="7"/>
        <v>0</v>
      </c>
      <c r="Q17" s="6" t="str">
        <f t="shared" si="8"/>
        <v/>
      </c>
      <c r="R17" s="5">
        <f>0</f>
        <v>0</v>
      </c>
      <c r="S17" s="4"/>
      <c r="T17" s="5">
        <f t="shared" si="9"/>
        <v>0</v>
      </c>
      <c r="U17" s="6" t="str">
        <f t="shared" si="10"/>
        <v/>
      </c>
      <c r="V17" s="5">
        <f>0</f>
        <v>0</v>
      </c>
      <c r="W17" s="4"/>
      <c r="X17" s="5">
        <f t="shared" si="11"/>
        <v>0</v>
      </c>
      <c r="Y17" s="6" t="str">
        <f t="shared" si="12"/>
        <v/>
      </c>
      <c r="Z17" s="5">
        <f>0</f>
        <v>0</v>
      </c>
      <c r="AA17" s="4"/>
      <c r="AB17" s="5">
        <f t="shared" si="13"/>
        <v>0</v>
      </c>
      <c r="AC17" s="6" t="str">
        <f t="shared" si="14"/>
        <v/>
      </c>
      <c r="AD17" s="5">
        <f>0</f>
        <v>0</v>
      </c>
      <c r="AE17" s="4"/>
      <c r="AF17" s="5">
        <f t="shared" si="15"/>
        <v>0</v>
      </c>
      <c r="AG17" s="6" t="str">
        <f t="shared" si="16"/>
        <v/>
      </c>
      <c r="AH17" s="5">
        <f t="shared" si="17"/>
        <v>0</v>
      </c>
      <c r="AI17" s="5">
        <f t="shared" si="18"/>
        <v>0</v>
      </c>
      <c r="AJ17" s="5">
        <f t="shared" si="19"/>
        <v>0</v>
      </c>
      <c r="AK17" s="6" t="str">
        <f t="shared" si="20"/>
        <v/>
      </c>
    </row>
    <row r="18" spans="1:37" x14ac:dyDescent="0.3">
      <c r="A18" s="3" t="s">
        <v>24</v>
      </c>
      <c r="B18" s="7">
        <f>(((B14)+(B15))+(B16))+(B17)</f>
        <v>6501.119999999999</v>
      </c>
      <c r="C18" s="7">
        <f>(((C14)+(C15))+(C16))+(C17)</f>
        <v>11833.509999999998</v>
      </c>
      <c r="D18" s="7">
        <f t="shared" si="1"/>
        <v>-5332.3899999999994</v>
      </c>
      <c r="E18" s="8">
        <f t="shared" si="2"/>
        <v>0.54938222049079266</v>
      </c>
      <c r="F18" s="7">
        <f>(((F14)+(F15))+(F16))+(F17)</f>
        <v>10835.2</v>
      </c>
      <c r="G18" s="7">
        <f>(((G14)+(G15))+(G16))+(G17)</f>
        <v>11833.509999999998</v>
      </c>
      <c r="H18" s="7">
        <f t="shared" si="3"/>
        <v>-998.30999999999767</v>
      </c>
      <c r="I18" s="8">
        <f t="shared" si="4"/>
        <v>0.91563703415132136</v>
      </c>
      <c r="J18" s="7">
        <f>(((J14)+(J15))+(J16))+(J17)</f>
        <v>16252.8</v>
      </c>
      <c r="K18" s="7">
        <f>(((K14)+(K15))+(K16))+(K17)</f>
        <v>11833.509999999998</v>
      </c>
      <c r="L18" s="7">
        <f t="shared" si="5"/>
        <v>4419.2900000000009</v>
      </c>
      <c r="M18" s="8">
        <f t="shared" si="6"/>
        <v>1.3734555512269817</v>
      </c>
      <c r="N18" s="7">
        <f>(((N14)+(N15))+(N16))+(N17)</f>
        <v>10835.2</v>
      </c>
      <c r="O18" s="7">
        <f>(((O14)+(O15))+(O16))+(O17)</f>
        <v>11833.509999999998</v>
      </c>
      <c r="P18" s="7">
        <f t="shared" si="7"/>
        <v>-998.30999999999767</v>
      </c>
      <c r="Q18" s="8">
        <f t="shared" si="8"/>
        <v>0.91563703415132136</v>
      </c>
      <c r="R18" s="7">
        <f>(((R14)+(R15))+(R16))+(R17)</f>
        <v>10835.2</v>
      </c>
      <c r="S18" s="7">
        <f>(((S14)+(S15))+(S16))+(S17)</f>
        <v>11833.509999999998</v>
      </c>
      <c r="T18" s="7">
        <f t="shared" si="9"/>
        <v>-998.30999999999767</v>
      </c>
      <c r="U18" s="8">
        <f t="shared" si="10"/>
        <v>0.91563703415132136</v>
      </c>
      <c r="V18" s="7">
        <f>(((V14)+(V15))+(V16))+(V17)</f>
        <v>10835.2</v>
      </c>
      <c r="W18" s="7">
        <f>(((W14)+(W15))+(W16))+(W17)</f>
        <v>11833.509999999998</v>
      </c>
      <c r="X18" s="7">
        <f t="shared" si="11"/>
        <v>-998.30999999999767</v>
      </c>
      <c r="Y18" s="8">
        <f t="shared" si="12"/>
        <v>0.91563703415132136</v>
      </c>
      <c r="Z18" s="7">
        <f>(((Z14)+(Z15))+(Z16))+(Z17)</f>
        <v>10835.2</v>
      </c>
      <c r="AA18" s="7">
        <f>(((AA14)+(AA15))+(AA16))+(AA17)</f>
        <v>11833.509999999998</v>
      </c>
      <c r="AB18" s="7">
        <f t="shared" si="13"/>
        <v>-998.30999999999767</v>
      </c>
      <c r="AC18" s="8">
        <f t="shared" si="14"/>
        <v>0.91563703415132136</v>
      </c>
      <c r="AD18" s="7">
        <f>(((AD14)+(AD15))+(AD16))+(AD17)</f>
        <v>10836.1</v>
      </c>
      <c r="AE18" s="7">
        <f>(((AE14)+(AE15))+(AE16))+(AE17)</f>
        <v>11833.509999999998</v>
      </c>
      <c r="AF18" s="7">
        <f t="shared" si="15"/>
        <v>-997.40999999999804</v>
      </c>
      <c r="AG18" s="8">
        <f t="shared" si="16"/>
        <v>0.91571308935387741</v>
      </c>
      <c r="AH18" s="7">
        <f t="shared" si="17"/>
        <v>87766.01999999999</v>
      </c>
      <c r="AI18" s="7">
        <f t="shared" si="18"/>
        <v>94668.079999999973</v>
      </c>
      <c r="AJ18" s="7">
        <f t="shared" si="19"/>
        <v>-6902.0599999999831</v>
      </c>
      <c r="AK18" s="8">
        <f t="shared" si="20"/>
        <v>0.92709200397853231</v>
      </c>
    </row>
    <row r="19" spans="1:37" x14ac:dyDescent="0.3">
      <c r="A19" s="3" t="s">
        <v>25</v>
      </c>
      <c r="B19" s="4"/>
      <c r="C19" s="4"/>
      <c r="D19" s="5">
        <f t="shared" si="1"/>
        <v>0</v>
      </c>
      <c r="E19" s="6" t="str">
        <f t="shared" si="2"/>
        <v/>
      </c>
      <c r="F19" s="4"/>
      <c r="G19" s="4"/>
      <c r="H19" s="5">
        <f t="shared" si="3"/>
        <v>0</v>
      </c>
      <c r="I19" s="6" t="str">
        <f t="shared" si="4"/>
        <v/>
      </c>
      <c r="J19" s="4"/>
      <c r="K19" s="4"/>
      <c r="L19" s="5">
        <f t="shared" si="5"/>
        <v>0</v>
      </c>
      <c r="M19" s="6" t="str">
        <f t="shared" si="6"/>
        <v/>
      </c>
      <c r="N19" s="4"/>
      <c r="O19" s="4"/>
      <c r="P19" s="5">
        <f t="shared" si="7"/>
        <v>0</v>
      </c>
      <c r="Q19" s="6" t="str">
        <f t="shared" si="8"/>
        <v/>
      </c>
      <c r="R19" s="4"/>
      <c r="S19" s="4"/>
      <c r="T19" s="5">
        <f t="shared" si="9"/>
        <v>0</v>
      </c>
      <c r="U19" s="6" t="str">
        <f t="shared" si="10"/>
        <v/>
      </c>
      <c r="V19" s="4"/>
      <c r="W19" s="4"/>
      <c r="X19" s="5">
        <f t="shared" si="11"/>
        <v>0</v>
      </c>
      <c r="Y19" s="6" t="str">
        <f t="shared" si="12"/>
        <v/>
      </c>
      <c r="Z19" s="4"/>
      <c r="AA19" s="4"/>
      <c r="AB19" s="5">
        <f t="shared" si="13"/>
        <v>0</v>
      </c>
      <c r="AC19" s="6" t="str">
        <f t="shared" si="14"/>
        <v/>
      </c>
      <c r="AD19" s="4"/>
      <c r="AE19" s="4"/>
      <c r="AF19" s="5">
        <f t="shared" si="15"/>
        <v>0</v>
      </c>
      <c r="AG19" s="6" t="str">
        <f t="shared" si="16"/>
        <v/>
      </c>
      <c r="AH19" s="5">
        <f t="shared" si="17"/>
        <v>0</v>
      </c>
      <c r="AI19" s="5">
        <f t="shared" si="18"/>
        <v>0</v>
      </c>
      <c r="AJ19" s="5">
        <f t="shared" si="19"/>
        <v>0</v>
      </c>
      <c r="AK19" s="6" t="str">
        <f t="shared" si="20"/>
        <v/>
      </c>
    </row>
    <row r="20" spans="1:37" x14ac:dyDescent="0.3">
      <c r="A20" s="3" t="s">
        <v>26</v>
      </c>
      <c r="B20" s="5">
        <f>413.5</f>
        <v>413.5</v>
      </c>
      <c r="C20" s="5">
        <f>476.89</f>
        <v>476.89</v>
      </c>
      <c r="D20" s="5">
        <f t="shared" si="1"/>
        <v>-63.389999999999986</v>
      </c>
      <c r="E20" s="6">
        <f t="shared" si="2"/>
        <v>0.86707626496676382</v>
      </c>
      <c r="F20" s="5">
        <f>413.5</f>
        <v>413.5</v>
      </c>
      <c r="G20" s="5">
        <f>476.89</f>
        <v>476.89</v>
      </c>
      <c r="H20" s="5">
        <f t="shared" si="3"/>
        <v>-63.389999999999986</v>
      </c>
      <c r="I20" s="6">
        <f t="shared" si="4"/>
        <v>0.86707626496676382</v>
      </c>
      <c r="J20" s="5">
        <f>620.26</f>
        <v>620.26</v>
      </c>
      <c r="K20" s="5">
        <f>476.89</f>
        <v>476.89</v>
      </c>
      <c r="L20" s="5">
        <f t="shared" si="5"/>
        <v>143.37</v>
      </c>
      <c r="M20" s="6">
        <f t="shared" si="6"/>
        <v>1.3006353666463966</v>
      </c>
      <c r="N20" s="5">
        <f>413.5</f>
        <v>413.5</v>
      </c>
      <c r="O20" s="5">
        <f>476.89</f>
        <v>476.89</v>
      </c>
      <c r="P20" s="5">
        <f t="shared" si="7"/>
        <v>-63.389999999999986</v>
      </c>
      <c r="Q20" s="6">
        <f t="shared" si="8"/>
        <v>0.86707626496676382</v>
      </c>
      <c r="R20" s="5">
        <f>413.5</f>
        <v>413.5</v>
      </c>
      <c r="S20" s="5">
        <f>476.89</f>
        <v>476.89</v>
      </c>
      <c r="T20" s="5">
        <f t="shared" si="9"/>
        <v>-63.389999999999986</v>
      </c>
      <c r="U20" s="6">
        <f t="shared" si="10"/>
        <v>0.86707626496676382</v>
      </c>
      <c r="V20" s="5">
        <f>413.5</f>
        <v>413.5</v>
      </c>
      <c r="W20" s="5">
        <f>476.89</f>
        <v>476.89</v>
      </c>
      <c r="X20" s="5">
        <f t="shared" si="11"/>
        <v>-63.389999999999986</v>
      </c>
      <c r="Y20" s="6">
        <f t="shared" si="12"/>
        <v>0.86707626496676382</v>
      </c>
      <c r="Z20" s="5">
        <f>413.5</f>
        <v>413.5</v>
      </c>
      <c r="AA20" s="5">
        <f>476.89</f>
        <v>476.89</v>
      </c>
      <c r="AB20" s="5">
        <f t="shared" si="13"/>
        <v>-63.389999999999986</v>
      </c>
      <c r="AC20" s="6">
        <f t="shared" si="14"/>
        <v>0.86707626496676382</v>
      </c>
      <c r="AD20" s="5">
        <f>413.5</f>
        <v>413.5</v>
      </c>
      <c r="AE20" s="5">
        <f>476.89</f>
        <v>476.89</v>
      </c>
      <c r="AF20" s="5">
        <f t="shared" si="15"/>
        <v>-63.389999999999986</v>
      </c>
      <c r="AG20" s="6">
        <f t="shared" si="16"/>
        <v>0.86707626496676382</v>
      </c>
      <c r="AH20" s="5">
        <f t="shared" si="17"/>
        <v>3514.76</v>
      </c>
      <c r="AI20" s="5">
        <f t="shared" si="18"/>
        <v>3815.1199999999994</v>
      </c>
      <c r="AJ20" s="5">
        <f t="shared" si="19"/>
        <v>-300.35999999999922</v>
      </c>
      <c r="AK20" s="6">
        <f t="shared" si="20"/>
        <v>0.92127115267671811</v>
      </c>
    </row>
    <row r="21" spans="1:37" x14ac:dyDescent="0.3">
      <c r="A21" s="3" t="s">
        <v>27</v>
      </c>
      <c r="B21" s="5">
        <f>222.66</f>
        <v>222.66</v>
      </c>
      <c r="C21" s="5">
        <f>256.79</f>
        <v>256.79000000000002</v>
      </c>
      <c r="D21" s="5">
        <f t="shared" si="1"/>
        <v>-34.130000000000024</v>
      </c>
      <c r="E21" s="6">
        <f t="shared" si="2"/>
        <v>0.86708983994703837</v>
      </c>
      <c r="F21" s="5">
        <f>222.66</f>
        <v>222.66</v>
      </c>
      <c r="G21" s="5">
        <f>256.79</f>
        <v>256.79000000000002</v>
      </c>
      <c r="H21" s="5">
        <f t="shared" si="3"/>
        <v>-34.130000000000024</v>
      </c>
      <c r="I21" s="6">
        <f t="shared" si="4"/>
        <v>0.86708983994703837</v>
      </c>
      <c r="J21" s="5">
        <f>333.98</f>
        <v>333.98</v>
      </c>
      <c r="K21" s="5">
        <f>256.79</f>
        <v>256.79000000000002</v>
      </c>
      <c r="L21" s="5">
        <f t="shared" si="5"/>
        <v>77.19</v>
      </c>
      <c r="M21" s="6">
        <f t="shared" si="6"/>
        <v>1.300595817594143</v>
      </c>
      <c r="N21" s="5">
        <f>222.66</f>
        <v>222.66</v>
      </c>
      <c r="O21" s="5">
        <f>256.79</f>
        <v>256.79000000000002</v>
      </c>
      <c r="P21" s="5">
        <f t="shared" si="7"/>
        <v>-34.130000000000024</v>
      </c>
      <c r="Q21" s="6">
        <f t="shared" si="8"/>
        <v>0.86708983994703837</v>
      </c>
      <c r="R21" s="5">
        <f>222.66</f>
        <v>222.66</v>
      </c>
      <c r="S21" s="5">
        <f>256.79</f>
        <v>256.79000000000002</v>
      </c>
      <c r="T21" s="5">
        <f t="shared" si="9"/>
        <v>-34.130000000000024</v>
      </c>
      <c r="U21" s="6">
        <f t="shared" si="10"/>
        <v>0.86708983994703837</v>
      </c>
      <c r="V21" s="5">
        <f>222.66</f>
        <v>222.66</v>
      </c>
      <c r="W21" s="5">
        <f>256.79</f>
        <v>256.79000000000002</v>
      </c>
      <c r="X21" s="5">
        <f t="shared" si="11"/>
        <v>-34.130000000000024</v>
      </c>
      <c r="Y21" s="6">
        <f t="shared" si="12"/>
        <v>0.86708983994703837</v>
      </c>
      <c r="Z21" s="5">
        <f>222.66</f>
        <v>222.66</v>
      </c>
      <c r="AA21" s="5">
        <f>256.79</f>
        <v>256.79000000000002</v>
      </c>
      <c r="AB21" s="5">
        <f t="shared" si="13"/>
        <v>-34.130000000000024</v>
      </c>
      <c r="AC21" s="6">
        <f t="shared" si="14"/>
        <v>0.86708983994703837</v>
      </c>
      <c r="AD21" s="5">
        <f>222.66</f>
        <v>222.66</v>
      </c>
      <c r="AE21" s="5">
        <f>256.79</f>
        <v>256.79000000000002</v>
      </c>
      <c r="AF21" s="5">
        <f t="shared" si="15"/>
        <v>-34.130000000000024</v>
      </c>
      <c r="AG21" s="6">
        <f t="shared" si="16"/>
        <v>0.86708983994703837</v>
      </c>
      <c r="AH21" s="5">
        <f t="shared" si="17"/>
        <v>1892.6000000000001</v>
      </c>
      <c r="AI21" s="5">
        <f t="shared" si="18"/>
        <v>2054.3200000000002</v>
      </c>
      <c r="AJ21" s="5">
        <f t="shared" si="19"/>
        <v>-161.72000000000003</v>
      </c>
      <c r="AK21" s="6">
        <f t="shared" si="20"/>
        <v>0.92127808715292647</v>
      </c>
    </row>
    <row r="22" spans="1:37" x14ac:dyDescent="0.3">
      <c r="A22" s="3" t="s">
        <v>28</v>
      </c>
      <c r="B22" s="5">
        <f>0</f>
        <v>0</v>
      </c>
      <c r="C22" s="4"/>
      <c r="D22" s="5">
        <f t="shared" si="1"/>
        <v>0</v>
      </c>
      <c r="E22" s="6" t="str">
        <f t="shared" si="2"/>
        <v/>
      </c>
      <c r="F22" s="5">
        <f>0</f>
        <v>0</v>
      </c>
      <c r="G22" s="4"/>
      <c r="H22" s="5">
        <f t="shared" si="3"/>
        <v>0</v>
      </c>
      <c r="I22" s="6" t="str">
        <f t="shared" si="4"/>
        <v/>
      </c>
      <c r="J22" s="5">
        <f>0</f>
        <v>0</v>
      </c>
      <c r="K22" s="4"/>
      <c r="L22" s="5">
        <f t="shared" si="5"/>
        <v>0</v>
      </c>
      <c r="M22" s="6" t="str">
        <f t="shared" si="6"/>
        <v/>
      </c>
      <c r="N22" s="5">
        <f>0</f>
        <v>0</v>
      </c>
      <c r="O22" s="4"/>
      <c r="P22" s="5">
        <f t="shared" si="7"/>
        <v>0</v>
      </c>
      <c r="Q22" s="6" t="str">
        <f t="shared" si="8"/>
        <v/>
      </c>
      <c r="R22" s="5">
        <f>0</f>
        <v>0</v>
      </c>
      <c r="S22" s="4"/>
      <c r="T22" s="5">
        <f t="shared" si="9"/>
        <v>0</v>
      </c>
      <c r="U22" s="6" t="str">
        <f t="shared" si="10"/>
        <v/>
      </c>
      <c r="V22" s="5">
        <f>0</f>
        <v>0</v>
      </c>
      <c r="W22" s="4"/>
      <c r="X22" s="5">
        <f t="shared" si="11"/>
        <v>0</v>
      </c>
      <c r="Y22" s="6" t="str">
        <f t="shared" si="12"/>
        <v/>
      </c>
      <c r="Z22" s="5">
        <f>0</f>
        <v>0</v>
      </c>
      <c r="AA22" s="4"/>
      <c r="AB22" s="5">
        <f t="shared" si="13"/>
        <v>0</v>
      </c>
      <c r="AC22" s="6" t="str">
        <f t="shared" si="14"/>
        <v/>
      </c>
      <c r="AD22" s="5">
        <f>0</f>
        <v>0</v>
      </c>
      <c r="AE22" s="4"/>
      <c r="AF22" s="5">
        <f t="shared" si="15"/>
        <v>0</v>
      </c>
      <c r="AG22" s="6" t="str">
        <f t="shared" si="16"/>
        <v/>
      </c>
      <c r="AH22" s="5">
        <f t="shared" si="17"/>
        <v>0</v>
      </c>
      <c r="AI22" s="5">
        <f t="shared" si="18"/>
        <v>0</v>
      </c>
      <c r="AJ22" s="5">
        <f t="shared" si="19"/>
        <v>0</v>
      </c>
      <c r="AK22" s="6" t="str">
        <f t="shared" si="20"/>
        <v/>
      </c>
    </row>
    <row r="23" spans="1:37" x14ac:dyDescent="0.3">
      <c r="A23" s="3" t="s">
        <v>29</v>
      </c>
      <c r="B23" s="7">
        <f>(((B19)+(B20))+(B21))+(B22)</f>
        <v>636.16</v>
      </c>
      <c r="C23" s="7">
        <f>(((C19)+(C20))+(C21))+(C22)</f>
        <v>733.68000000000006</v>
      </c>
      <c r="D23" s="7">
        <f t="shared" si="1"/>
        <v>-97.520000000000095</v>
      </c>
      <c r="E23" s="8">
        <f t="shared" si="2"/>
        <v>0.86708101624686496</v>
      </c>
      <c r="F23" s="7">
        <f>(((F19)+(F20))+(F21))+(F22)</f>
        <v>636.16</v>
      </c>
      <c r="G23" s="7">
        <f>(((G19)+(G20))+(G21))+(G22)</f>
        <v>733.68000000000006</v>
      </c>
      <c r="H23" s="7">
        <f t="shared" si="3"/>
        <v>-97.520000000000095</v>
      </c>
      <c r="I23" s="8">
        <f t="shared" si="4"/>
        <v>0.86708101624686496</v>
      </c>
      <c r="J23" s="7">
        <f>(((J19)+(J20))+(J21))+(J22)</f>
        <v>954.24</v>
      </c>
      <c r="K23" s="7">
        <f>(((K19)+(K20))+(K21))+(K22)</f>
        <v>733.68000000000006</v>
      </c>
      <c r="L23" s="7">
        <f t="shared" si="5"/>
        <v>220.55999999999995</v>
      </c>
      <c r="M23" s="8">
        <f t="shared" si="6"/>
        <v>1.3006215243702977</v>
      </c>
      <c r="N23" s="7">
        <f>(((N19)+(N20))+(N21))+(N22)</f>
        <v>636.16</v>
      </c>
      <c r="O23" s="7">
        <f>(((O19)+(O20))+(O21))+(O22)</f>
        <v>733.68000000000006</v>
      </c>
      <c r="P23" s="7">
        <f t="shared" si="7"/>
        <v>-97.520000000000095</v>
      </c>
      <c r="Q23" s="8">
        <f t="shared" si="8"/>
        <v>0.86708101624686496</v>
      </c>
      <c r="R23" s="7">
        <f>(((R19)+(R20))+(R21))+(R22)</f>
        <v>636.16</v>
      </c>
      <c r="S23" s="7">
        <f>(((S19)+(S20))+(S21))+(S22)</f>
        <v>733.68000000000006</v>
      </c>
      <c r="T23" s="7">
        <f t="shared" si="9"/>
        <v>-97.520000000000095</v>
      </c>
      <c r="U23" s="8">
        <f t="shared" si="10"/>
        <v>0.86708101624686496</v>
      </c>
      <c r="V23" s="7">
        <f>(((V19)+(V20))+(V21))+(V22)</f>
        <v>636.16</v>
      </c>
      <c r="W23" s="7">
        <f>(((W19)+(W20))+(W21))+(W22)</f>
        <v>733.68000000000006</v>
      </c>
      <c r="X23" s="7">
        <f t="shared" si="11"/>
        <v>-97.520000000000095</v>
      </c>
      <c r="Y23" s="8">
        <f t="shared" si="12"/>
        <v>0.86708101624686496</v>
      </c>
      <c r="Z23" s="7">
        <f>(((Z19)+(Z20))+(Z21))+(Z22)</f>
        <v>636.16</v>
      </c>
      <c r="AA23" s="7">
        <f>(((AA19)+(AA20))+(AA21))+(AA22)</f>
        <v>733.68000000000006</v>
      </c>
      <c r="AB23" s="7">
        <f t="shared" si="13"/>
        <v>-97.520000000000095</v>
      </c>
      <c r="AC23" s="8">
        <f t="shared" si="14"/>
        <v>0.86708101624686496</v>
      </c>
      <c r="AD23" s="7">
        <f>(((AD19)+(AD20))+(AD21))+(AD22)</f>
        <v>636.16</v>
      </c>
      <c r="AE23" s="7">
        <f>(((AE19)+(AE20))+(AE21))+(AE22)</f>
        <v>733.68000000000006</v>
      </c>
      <c r="AF23" s="7">
        <f t="shared" si="15"/>
        <v>-97.520000000000095</v>
      </c>
      <c r="AG23" s="8">
        <f t="shared" si="16"/>
        <v>0.86708101624686496</v>
      </c>
      <c r="AH23" s="7">
        <f t="shared" si="17"/>
        <v>5407.36</v>
      </c>
      <c r="AI23" s="7">
        <f t="shared" si="18"/>
        <v>5869.4400000000014</v>
      </c>
      <c r="AJ23" s="7">
        <f t="shared" si="19"/>
        <v>-462.08000000000175</v>
      </c>
      <c r="AK23" s="8">
        <f t="shared" si="20"/>
        <v>0.92127357976229396</v>
      </c>
    </row>
    <row r="24" spans="1:37" x14ac:dyDescent="0.3">
      <c r="A24" s="3" t="s">
        <v>30</v>
      </c>
      <c r="B24" s="4"/>
      <c r="C24" s="4"/>
      <c r="D24" s="5">
        <f t="shared" si="1"/>
        <v>0</v>
      </c>
      <c r="E24" s="6" t="str">
        <f t="shared" si="2"/>
        <v/>
      </c>
      <c r="F24" s="4"/>
      <c r="G24" s="4"/>
      <c r="H24" s="5">
        <f t="shared" si="3"/>
        <v>0</v>
      </c>
      <c r="I24" s="6" t="str">
        <f t="shared" si="4"/>
        <v/>
      </c>
      <c r="J24" s="4"/>
      <c r="K24" s="4"/>
      <c r="L24" s="5">
        <f t="shared" si="5"/>
        <v>0</v>
      </c>
      <c r="M24" s="6" t="str">
        <f t="shared" si="6"/>
        <v/>
      </c>
      <c r="N24" s="4"/>
      <c r="O24" s="4"/>
      <c r="P24" s="5">
        <f t="shared" si="7"/>
        <v>0</v>
      </c>
      <c r="Q24" s="6" t="str">
        <f t="shared" si="8"/>
        <v/>
      </c>
      <c r="R24" s="4"/>
      <c r="S24" s="4"/>
      <c r="T24" s="5">
        <f t="shared" si="9"/>
        <v>0</v>
      </c>
      <c r="U24" s="6" t="str">
        <f t="shared" si="10"/>
        <v/>
      </c>
      <c r="V24" s="4"/>
      <c r="W24" s="4"/>
      <c r="X24" s="5">
        <f t="shared" si="11"/>
        <v>0</v>
      </c>
      <c r="Y24" s="6" t="str">
        <f t="shared" si="12"/>
        <v/>
      </c>
      <c r="Z24" s="4"/>
      <c r="AA24" s="4"/>
      <c r="AB24" s="5">
        <f t="shared" si="13"/>
        <v>0</v>
      </c>
      <c r="AC24" s="6" t="str">
        <f t="shared" si="14"/>
        <v/>
      </c>
      <c r="AD24" s="4"/>
      <c r="AE24" s="4"/>
      <c r="AF24" s="5">
        <f t="shared" si="15"/>
        <v>0</v>
      </c>
      <c r="AG24" s="6" t="str">
        <f t="shared" si="16"/>
        <v/>
      </c>
      <c r="AH24" s="5">
        <f t="shared" si="17"/>
        <v>0</v>
      </c>
      <c r="AI24" s="5">
        <f t="shared" si="18"/>
        <v>0</v>
      </c>
      <c r="AJ24" s="5">
        <f t="shared" si="19"/>
        <v>0</v>
      </c>
      <c r="AK24" s="6" t="str">
        <f t="shared" si="20"/>
        <v/>
      </c>
    </row>
    <row r="25" spans="1:37" x14ac:dyDescent="0.3">
      <c r="A25" s="3" t="s">
        <v>31</v>
      </c>
      <c r="B25" s="5">
        <f>96.74</f>
        <v>96.74</v>
      </c>
      <c r="C25" s="5">
        <f>111.53</f>
        <v>111.53</v>
      </c>
      <c r="D25" s="5">
        <f t="shared" si="1"/>
        <v>-14.790000000000006</v>
      </c>
      <c r="E25" s="6">
        <f t="shared" si="2"/>
        <v>0.86738993992647717</v>
      </c>
      <c r="F25" s="5">
        <f>96.71</f>
        <v>96.71</v>
      </c>
      <c r="G25" s="5">
        <f>111.53</f>
        <v>111.53</v>
      </c>
      <c r="H25" s="5">
        <f t="shared" si="3"/>
        <v>-14.820000000000007</v>
      </c>
      <c r="I25" s="6">
        <f t="shared" si="4"/>
        <v>0.86712095400340705</v>
      </c>
      <c r="J25" s="5">
        <f>145.06</f>
        <v>145.06</v>
      </c>
      <c r="K25" s="5">
        <f>111.53</f>
        <v>111.53</v>
      </c>
      <c r="L25" s="5">
        <f t="shared" si="5"/>
        <v>33.53</v>
      </c>
      <c r="M25" s="6">
        <f t="shared" si="6"/>
        <v>1.3006366000179324</v>
      </c>
      <c r="N25" s="5">
        <f>96.71</f>
        <v>96.71</v>
      </c>
      <c r="O25" s="5">
        <f>111.53</f>
        <v>111.53</v>
      </c>
      <c r="P25" s="5">
        <f t="shared" si="7"/>
        <v>-14.820000000000007</v>
      </c>
      <c r="Q25" s="6">
        <f t="shared" si="8"/>
        <v>0.86712095400340705</v>
      </c>
      <c r="R25" s="5">
        <f>96.71</f>
        <v>96.71</v>
      </c>
      <c r="S25" s="5">
        <f>111.53</f>
        <v>111.53</v>
      </c>
      <c r="T25" s="5">
        <f t="shared" si="9"/>
        <v>-14.820000000000007</v>
      </c>
      <c r="U25" s="6">
        <f t="shared" si="10"/>
        <v>0.86712095400340705</v>
      </c>
      <c r="V25" s="5">
        <f>96.71</f>
        <v>96.71</v>
      </c>
      <c r="W25" s="5">
        <f>111.53</f>
        <v>111.53</v>
      </c>
      <c r="X25" s="5">
        <f t="shared" si="11"/>
        <v>-14.820000000000007</v>
      </c>
      <c r="Y25" s="6">
        <f t="shared" si="12"/>
        <v>0.86712095400340705</v>
      </c>
      <c r="Z25" s="5">
        <f>96.71</f>
        <v>96.71</v>
      </c>
      <c r="AA25" s="5">
        <f>111.53</f>
        <v>111.53</v>
      </c>
      <c r="AB25" s="5">
        <f t="shared" si="13"/>
        <v>-14.820000000000007</v>
      </c>
      <c r="AC25" s="6">
        <f t="shared" si="14"/>
        <v>0.86712095400340705</v>
      </c>
      <c r="AD25" s="5">
        <f>96.71</f>
        <v>96.71</v>
      </c>
      <c r="AE25" s="5">
        <f>111.53</f>
        <v>111.53</v>
      </c>
      <c r="AF25" s="5">
        <f t="shared" si="15"/>
        <v>-14.820000000000007</v>
      </c>
      <c r="AG25" s="6">
        <f t="shared" si="16"/>
        <v>0.86712095400340705</v>
      </c>
      <c r="AH25" s="5">
        <f t="shared" si="17"/>
        <v>822.06000000000006</v>
      </c>
      <c r="AI25" s="5">
        <f t="shared" si="18"/>
        <v>892.2399999999999</v>
      </c>
      <c r="AJ25" s="5">
        <f t="shared" si="19"/>
        <v>-70.179999999999836</v>
      </c>
      <c r="AK25" s="6">
        <f t="shared" si="20"/>
        <v>0.92134403299560674</v>
      </c>
    </row>
    <row r="26" spans="1:37" x14ac:dyDescent="0.3">
      <c r="A26" s="3" t="s">
        <v>32</v>
      </c>
      <c r="B26" s="5">
        <f>52.09</f>
        <v>52.09</v>
      </c>
      <c r="C26" s="5">
        <f>60.06</f>
        <v>60.06</v>
      </c>
      <c r="D26" s="5">
        <f t="shared" si="1"/>
        <v>-7.9699999999999989</v>
      </c>
      <c r="E26" s="6">
        <f t="shared" si="2"/>
        <v>0.8672993672993673</v>
      </c>
      <c r="F26" s="5">
        <f>52.07</f>
        <v>52.07</v>
      </c>
      <c r="G26" s="5">
        <f>60.06</f>
        <v>60.06</v>
      </c>
      <c r="H26" s="5">
        <f t="shared" si="3"/>
        <v>-7.990000000000002</v>
      </c>
      <c r="I26" s="6">
        <f t="shared" si="4"/>
        <v>0.86696636696636697</v>
      </c>
      <c r="J26" s="5">
        <f>78.11</f>
        <v>78.11</v>
      </c>
      <c r="K26" s="5">
        <f>60.06</f>
        <v>60.06</v>
      </c>
      <c r="L26" s="5">
        <f t="shared" si="5"/>
        <v>18.049999999999997</v>
      </c>
      <c r="M26" s="6">
        <f t="shared" si="6"/>
        <v>1.3005328005328005</v>
      </c>
      <c r="N26" s="5">
        <f>52.07</f>
        <v>52.07</v>
      </c>
      <c r="O26" s="5">
        <f>60.06</f>
        <v>60.06</v>
      </c>
      <c r="P26" s="5">
        <f t="shared" si="7"/>
        <v>-7.990000000000002</v>
      </c>
      <c r="Q26" s="6">
        <f t="shared" si="8"/>
        <v>0.86696636696636697</v>
      </c>
      <c r="R26" s="5">
        <f>52.07</f>
        <v>52.07</v>
      </c>
      <c r="S26" s="5">
        <f>60.06</f>
        <v>60.06</v>
      </c>
      <c r="T26" s="5">
        <f t="shared" si="9"/>
        <v>-7.990000000000002</v>
      </c>
      <c r="U26" s="6">
        <f t="shared" si="10"/>
        <v>0.86696636696636697</v>
      </c>
      <c r="V26" s="5">
        <f>52.07</f>
        <v>52.07</v>
      </c>
      <c r="W26" s="5">
        <f>60.06</f>
        <v>60.06</v>
      </c>
      <c r="X26" s="5">
        <f t="shared" si="11"/>
        <v>-7.990000000000002</v>
      </c>
      <c r="Y26" s="6">
        <f t="shared" si="12"/>
        <v>0.86696636696636697</v>
      </c>
      <c r="Z26" s="5">
        <f>52.07</f>
        <v>52.07</v>
      </c>
      <c r="AA26" s="5">
        <f>60.06</f>
        <v>60.06</v>
      </c>
      <c r="AB26" s="5">
        <f t="shared" si="13"/>
        <v>-7.990000000000002</v>
      </c>
      <c r="AC26" s="6">
        <f t="shared" si="14"/>
        <v>0.86696636696636697</v>
      </c>
      <c r="AD26" s="5">
        <f>52.07</f>
        <v>52.07</v>
      </c>
      <c r="AE26" s="5">
        <f>60.06</f>
        <v>60.06</v>
      </c>
      <c r="AF26" s="5">
        <f t="shared" si="15"/>
        <v>-7.990000000000002</v>
      </c>
      <c r="AG26" s="6">
        <f t="shared" si="16"/>
        <v>0.86696636696636697</v>
      </c>
      <c r="AH26" s="5">
        <f t="shared" si="17"/>
        <v>442.61999999999995</v>
      </c>
      <c r="AI26" s="5">
        <f t="shared" si="18"/>
        <v>480.48</v>
      </c>
      <c r="AJ26" s="5">
        <f t="shared" si="19"/>
        <v>-37.86000000000007</v>
      </c>
      <c r="AK26" s="6">
        <f t="shared" si="20"/>
        <v>0.92120379620379611</v>
      </c>
    </row>
    <row r="27" spans="1:37" x14ac:dyDescent="0.3">
      <c r="A27" s="3" t="s">
        <v>33</v>
      </c>
      <c r="B27" s="5">
        <f>0</f>
        <v>0</v>
      </c>
      <c r="C27" s="4"/>
      <c r="D27" s="5">
        <f t="shared" si="1"/>
        <v>0</v>
      </c>
      <c r="E27" s="6" t="str">
        <f t="shared" si="2"/>
        <v/>
      </c>
      <c r="F27" s="5">
        <f>0</f>
        <v>0</v>
      </c>
      <c r="G27" s="4"/>
      <c r="H27" s="5">
        <f t="shared" si="3"/>
        <v>0</v>
      </c>
      <c r="I27" s="6" t="str">
        <f t="shared" si="4"/>
        <v/>
      </c>
      <c r="J27" s="5">
        <f>0</f>
        <v>0</v>
      </c>
      <c r="K27" s="4"/>
      <c r="L27" s="5">
        <f t="shared" si="5"/>
        <v>0</v>
      </c>
      <c r="M27" s="6" t="str">
        <f t="shared" si="6"/>
        <v/>
      </c>
      <c r="N27" s="5">
        <f>0</f>
        <v>0</v>
      </c>
      <c r="O27" s="4"/>
      <c r="P27" s="5">
        <f t="shared" si="7"/>
        <v>0</v>
      </c>
      <c r="Q27" s="6" t="str">
        <f t="shared" si="8"/>
        <v/>
      </c>
      <c r="R27" s="5">
        <f>0</f>
        <v>0</v>
      </c>
      <c r="S27" s="4"/>
      <c r="T27" s="5">
        <f t="shared" si="9"/>
        <v>0</v>
      </c>
      <c r="U27" s="6" t="str">
        <f t="shared" si="10"/>
        <v/>
      </c>
      <c r="V27" s="5">
        <f>0</f>
        <v>0</v>
      </c>
      <c r="W27" s="4"/>
      <c r="X27" s="5">
        <f t="shared" si="11"/>
        <v>0</v>
      </c>
      <c r="Y27" s="6" t="str">
        <f t="shared" si="12"/>
        <v/>
      </c>
      <c r="Z27" s="5">
        <f>0</f>
        <v>0</v>
      </c>
      <c r="AA27" s="4"/>
      <c r="AB27" s="5">
        <f t="shared" si="13"/>
        <v>0</v>
      </c>
      <c r="AC27" s="6" t="str">
        <f t="shared" si="14"/>
        <v/>
      </c>
      <c r="AD27" s="5">
        <f>0</f>
        <v>0</v>
      </c>
      <c r="AE27" s="4"/>
      <c r="AF27" s="5">
        <f t="shared" si="15"/>
        <v>0</v>
      </c>
      <c r="AG27" s="6" t="str">
        <f t="shared" si="16"/>
        <v/>
      </c>
      <c r="AH27" s="5">
        <f t="shared" si="17"/>
        <v>0</v>
      </c>
      <c r="AI27" s="5">
        <f t="shared" si="18"/>
        <v>0</v>
      </c>
      <c r="AJ27" s="5">
        <f t="shared" si="19"/>
        <v>0</v>
      </c>
      <c r="AK27" s="6" t="str">
        <f t="shared" si="20"/>
        <v/>
      </c>
    </row>
    <row r="28" spans="1:37" x14ac:dyDescent="0.3">
      <c r="A28" s="3" t="s">
        <v>34</v>
      </c>
      <c r="B28" s="7">
        <f>(((B24)+(B25))+(B26))+(B27)</f>
        <v>148.82999999999998</v>
      </c>
      <c r="C28" s="7">
        <f>(((C24)+(C25))+(C26))+(C27)</f>
        <v>171.59</v>
      </c>
      <c r="D28" s="7">
        <f t="shared" si="1"/>
        <v>-22.760000000000019</v>
      </c>
      <c r="E28" s="8">
        <f t="shared" si="2"/>
        <v>0.86735823765953712</v>
      </c>
      <c r="F28" s="7">
        <f>(((F24)+(F25))+(F26))+(F27)</f>
        <v>148.78</v>
      </c>
      <c r="G28" s="7">
        <f>(((G24)+(G25))+(G26))+(G27)</f>
        <v>171.59</v>
      </c>
      <c r="H28" s="7">
        <f t="shared" si="3"/>
        <v>-22.810000000000002</v>
      </c>
      <c r="I28" s="8">
        <f t="shared" si="4"/>
        <v>0.86706684538726031</v>
      </c>
      <c r="J28" s="7">
        <f>(((J24)+(J25))+(J26))+(J27)</f>
        <v>223.17000000000002</v>
      </c>
      <c r="K28" s="7">
        <f>(((K24)+(K25))+(K26))+(K27)</f>
        <v>171.59</v>
      </c>
      <c r="L28" s="7">
        <f t="shared" si="5"/>
        <v>51.580000000000013</v>
      </c>
      <c r="M28" s="8">
        <f t="shared" si="6"/>
        <v>1.3006002680808906</v>
      </c>
      <c r="N28" s="7">
        <f>(((N24)+(N25))+(N26))+(N27)</f>
        <v>148.78</v>
      </c>
      <c r="O28" s="7">
        <f>(((O24)+(O25))+(O26))+(O27)</f>
        <v>171.59</v>
      </c>
      <c r="P28" s="7">
        <f t="shared" si="7"/>
        <v>-22.810000000000002</v>
      </c>
      <c r="Q28" s="8">
        <f t="shared" si="8"/>
        <v>0.86706684538726031</v>
      </c>
      <c r="R28" s="7">
        <f>(((R24)+(R25))+(R26))+(R27)</f>
        <v>148.78</v>
      </c>
      <c r="S28" s="7">
        <f>(((S24)+(S25))+(S26))+(S27)</f>
        <v>171.59</v>
      </c>
      <c r="T28" s="7">
        <f t="shared" si="9"/>
        <v>-22.810000000000002</v>
      </c>
      <c r="U28" s="8">
        <f t="shared" si="10"/>
        <v>0.86706684538726031</v>
      </c>
      <c r="V28" s="7">
        <f>(((V24)+(V25))+(V26))+(V27)</f>
        <v>148.78</v>
      </c>
      <c r="W28" s="7">
        <f>(((W24)+(W25))+(W26))+(W27)</f>
        <v>171.59</v>
      </c>
      <c r="X28" s="7">
        <f t="shared" si="11"/>
        <v>-22.810000000000002</v>
      </c>
      <c r="Y28" s="8">
        <f t="shared" si="12"/>
        <v>0.86706684538726031</v>
      </c>
      <c r="Z28" s="7">
        <f>(((Z24)+(Z25))+(Z26))+(Z27)</f>
        <v>148.78</v>
      </c>
      <c r="AA28" s="7">
        <f>(((AA24)+(AA25))+(AA26))+(AA27)</f>
        <v>171.59</v>
      </c>
      <c r="AB28" s="7">
        <f t="shared" si="13"/>
        <v>-22.810000000000002</v>
      </c>
      <c r="AC28" s="8">
        <f t="shared" si="14"/>
        <v>0.86706684538726031</v>
      </c>
      <c r="AD28" s="7">
        <f>(((AD24)+(AD25))+(AD26))+(AD27)</f>
        <v>148.78</v>
      </c>
      <c r="AE28" s="7">
        <f>(((AE24)+(AE25))+(AE26))+(AE27)</f>
        <v>171.59</v>
      </c>
      <c r="AF28" s="7">
        <f t="shared" si="15"/>
        <v>-22.810000000000002</v>
      </c>
      <c r="AG28" s="8">
        <f t="shared" si="16"/>
        <v>0.86706684538726031</v>
      </c>
      <c r="AH28" s="7">
        <f t="shared" si="17"/>
        <v>1264.6799999999998</v>
      </c>
      <c r="AI28" s="7">
        <f t="shared" si="18"/>
        <v>1372.7199999999998</v>
      </c>
      <c r="AJ28" s="7">
        <f t="shared" si="19"/>
        <v>-108.03999999999996</v>
      </c>
      <c r="AK28" s="8">
        <f t="shared" si="20"/>
        <v>0.92129494725799876</v>
      </c>
    </row>
    <row r="29" spans="1:37" x14ac:dyDescent="0.3">
      <c r="A29" s="3" t="s">
        <v>35</v>
      </c>
      <c r="B29" s="4"/>
      <c r="C29" s="4"/>
      <c r="D29" s="5">
        <f t="shared" si="1"/>
        <v>0</v>
      </c>
      <c r="E29" s="6" t="str">
        <f t="shared" si="2"/>
        <v/>
      </c>
      <c r="F29" s="4"/>
      <c r="G29" s="4"/>
      <c r="H29" s="5">
        <f t="shared" si="3"/>
        <v>0</v>
      </c>
      <c r="I29" s="6" t="str">
        <f t="shared" si="4"/>
        <v/>
      </c>
      <c r="J29" s="4"/>
      <c r="K29" s="4"/>
      <c r="L29" s="5">
        <f t="shared" si="5"/>
        <v>0</v>
      </c>
      <c r="M29" s="6" t="str">
        <f t="shared" si="6"/>
        <v/>
      </c>
      <c r="N29" s="4"/>
      <c r="O29" s="4"/>
      <c r="P29" s="5">
        <f t="shared" si="7"/>
        <v>0</v>
      </c>
      <c r="Q29" s="6" t="str">
        <f t="shared" si="8"/>
        <v/>
      </c>
      <c r="R29" s="4"/>
      <c r="S29" s="4"/>
      <c r="T29" s="5">
        <f t="shared" si="9"/>
        <v>0</v>
      </c>
      <c r="U29" s="6" t="str">
        <f t="shared" si="10"/>
        <v/>
      </c>
      <c r="V29" s="4"/>
      <c r="W29" s="4"/>
      <c r="X29" s="5">
        <f t="shared" si="11"/>
        <v>0</v>
      </c>
      <c r="Y29" s="6" t="str">
        <f t="shared" si="12"/>
        <v/>
      </c>
      <c r="Z29" s="4"/>
      <c r="AA29" s="4"/>
      <c r="AB29" s="5">
        <f t="shared" si="13"/>
        <v>0</v>
      </c>
      <c r="AC29" s="6" t="str">
        <f t="shared" si="14"/>
        <v/>
      </c>
      <c r="AD29" s="4"/>
      <c r="AE29" s="4"/>
      <c r="AF29" s="5">
        <f t="shared" si="15"/>
        <v>0</v>
      </c>
      <c r="AG29" s="6" t="str">
        <f t="shared" si="16"/>
        <v/>
      </c>
      <c r="AH29" s="5">
        <f t="shared" si="17"/>
        <v>0</v>
      </c>
      <c r="AI29" s="5">
        <f t="shared" si="18"/>
        <v>0</v>
      </c>
      <c r="AJ29" s="5">
        <f t="shared" si="19"/>
        <v>0</v>
      </c>
      <c r="AK29" s="6" t="str">
        <f t="shared" si="20"/>
        <v/>
      </c>
    </row>
    <row r="30" spans="1:37" x14ac:dyDescent="0.3">
      <c r="A30" s="3" t="s">
        <v>36</v>
      </c>
      <c r="B30" s="4"/>
      <c r="C30" s="5">
        <f>64.46</f>
        <v>64.459999999999994</v>
      </c>
      <c r="D30" s="5">
        <f t="shared" si="1"/>
        <v>-64.459999999999994</v>
      </c>
      <c r="E30" s="6">
        <f t="shared" si="2"/>
        <v>0</v>
      </c>
      <c r="F30" s="4"/>
      <c r="G30" s="5">
        <f>64.46</f>
        <v>64.459999999999994</v>
      </c>
      <c r="H30" s="5">
        <f t="shared" si="3"/>
        <v>-64.459999999999994</v>
      </c>
      <c r="I30" s="6">
        <f t="shared" si="4"/>
        <v>0</v>
      </c>
      <c r="J30" s="4"/>
      <c r="K30" s="5">
        <f>64.46</f>
        <v>64.459999999999994</v>
      </c>
      <c r="L30" s="5">
        <f t="shared" si="5"/>
        <v>-64.459999999999994</v>
      </c>
      <c r="M30" s="6">
        <f t="shared" si="6"/>
        <v>0</v>
      </c>
      <c r="N30" s="5">
        <f>757.11</f>
        <v>757.11</v>
      </c>
      <c r="O30" s="5">
        <f>64.46</f>
        <v>64.459999999999994</v>
      </c>
      <c r="P30" s="5">
        <f t="shared" si="7"/>
        <v>692.65</v>
      </c>
      <c r="Q30" s="6">
        <f t="shared" si="8"/>
        <v>11.745423518461063</v>
      </c>
      <c r="R30" s="5">
        <f>453.41</f>
        <v>453.41</v>
      </c>
      <c r="S30" s="5">
        <f>64.46</f>
        <v>64.459999999999994</v>
      </c>
      <c r="T30" s="5">
        <f t="shared" si="9"/>
        <v>388.95000000000005</v>
      </c>
      <c r="U30" s="6">
        <f t="shared" si="10"/>
        <v>7.0339745578653439</v>
      </c>
      <c r="V30" s="5">
        <f>117.11</f>
        <v>117.11</v>
      </c>
      <c r="W30" s="5">
        <f>64.46</f>
        <v>64.459999999999994</v>
      </c>
      <c r="X30" s="5">
        <f t="shared" si="11"/>
        <v>52.650000000000006</v>
      </c>
      <c r="Y30" s="6">
        <f t="shared" si="12"/>
        <v>1.8167856034750234</v>
      </c>
      <c r="Z30" s="5">
        <f>-831.9</f>
        <v>-831.9</v>
      </c>
      <c r="AA30" s="5">
        <f>64.46</f>
        <v>64.459999999999994</v>
      </c>
      <c r="AB30" s="5">
        <f t="shared" si="13"/>
        <v>-896.36</v>
      </c>
      <c r="AC30" s="6">
        <f t="shared" si="14"/>
        <v>-12.905677939807633</v>
      </c>
      <c r="AD30" s="5">
        <f>0</f>
        <v>0</v>
      </c>
      <c r="AE30" s="5">
        <f>64.46</f>
        <v>64.459999999999994</v>
      </c>
      <c r="AF30" s="5">
        <f t="shared" si="15"/>
        <v>-64.459999999999994</v>
      </c>
      <c r="AG30" s="6">
        <f t="shared" si="16"/>
        <v>0</v>
      </c>
      <c r="AH30" s="5">
        <f t="shared" si="17"/>
        <v>495.7299999999999</v>
      </c>
      <c r="AI30" s="5">
        <f t="shared" si="18"/>
        <v>515.67999999999995</v>
      </c>
      <c r="AJ30" s="5">
        <f t="shared" si="19"/>
        <v>-19.950000000000045</v>
      </c>
      <c r="AK30" s="6">
        <f t="shared" si="20"/>
        <v>0.96131321749922427</v>
      </c>
    </row>
    <row r="31" spans="1:37" x14ac:dyDescent="0.3">
      <c r="A31" s="3" t="s">
        <v>37</v>
      </c>
      <c r="B31" s="4"/>
      <c r="C31" s="5">
        <f>34.71</f>
        <v>34.71</v>
      </c>
      <c r="D31" s="5">
        <f t="shared" si="1"/>
        <v>-34.71</v>
      </c>
      <c r="E31" s="6">
        <f t="shared" si="2"/>
        <v>0</v>
      </c>
      <c r="F31" s="4"/>
      <c r="G31" s="5">
        <f>34.71</f>
        <v>34.71</v>
      </c>
      <c r="H31" s="5">
        <f t="shared" si="3"/>
        <v>-34.71</v>
      </c>
      <c r="I31" s="6">
        <f t="shared" si="4"/>
        <v>0</v>
      </c>
      <c r="J31" s="4"/>
      <c r="K31" s="5">
        <f>34.71</f>
        <v>34.71</v>
      </c>
      <c r="L31" s="5">
        <f t="shared" si="5"/>
        <v>-34.71</v>
      </c>
      <c r="M31" s="6">
        <f t="shared" si="6"/>
        <v>0</v>
      </c>
      <c r="N31" s="5">
        <f>407.67</f>
        <v>407.67</v>
      </c>
      <c r="O31" s="5">
        <f>34.71</f>
        <v>34.71</v>
      </c>
      <c r="P31" s="5">
        <f t="shared" si="7"/>
        <v>372.96000000000004</v>
      </c>
      <c r="Q31" s="6">
        <f t="shared" si="8"/>
        <v>11.745030250648229</v>
      </c>
      <c r="R31" s="5">
        <f>244.14</f>
        <v>244.14</v>
      </c>
      <c r="S31" s="5">
        <f>34.71</f>
        <v>34.71</v>
      </c>
      <c r="T31" s="5">
        <f t="shared" si="9"/>
        <v>209.42999999999998</v>
      </c>
      <c r="U31" s="6">
        <f t="shared" si="10"/>
        <v>7.0337078651685392</v>
      </c>
      <c r="V31" s="5">
        <f>63.06</f>
        <v>63.06</v>
      </c>
      <c r="W31" s="5">
        <f>34.71</f>
        <v>34.71</v>
      </c>
      <c r="X31" s="5">
        <f t="shared" si="11"/>
        <v>28.35</v>
      </c>
      <c r="Y31" s="6">
        <f t="shared" si="12"/>
        <v>1.8167675021607606</v>
      </c>
      <c r="Z31" s="5">
        <f>-447.94</f>
        <v>-447.94</v>
      </c>
      <c r="AA31" s="5">
        <f>34.71</f>
        <v>34.71</v>
      </c>
      <c r="AB31" s="5">
        <f t="shared" si="13"/>
        <v>-482.65</v>
      </c>
      <c r="AC31" s="6">
        <f t="shared" si="14"/>
        <v>-12.905214635551713</v>
      </c>
      <c r="AD31" s="5">
        <f>0</f>
        <v>0</v>
      </c>
      <c r="AE31" s="5">
        <f>34.71</f>
        <v>34.71</v>
      </c>
      <c r="AF31" s="5">
        <f t="shared" si="15"/>
        <v>-34.71</v>
      </c>
      <c r="AG31" s="6">
        <f t="shared" si="16"/>
        <v>0</v>
      </c>
      <c r="AH31" s="5">
        <f t="shared" si="17"/>
        <v>266.92999999999989</v>
      </c>
      <c r="AI31" s="5">
        <f t="shared" si="18"/>
        <v>277.68</v>
      </c>
      <c r="AJ31" s="5">
        <f t="shared" si="19"/>
        <v>-10.750000000000114</v>
      </c>
      <c r="AK31" s="6">
        <f t="shared" si="20"/>
        <v>0.96128637280322637</v>
      </c>
    </row>
    <row r="32" spans="1:37" x14ac:dyDescent="0.3">
      <c r="A32" s="3" t="s">
        <v>38</v>
      </c>
      <c r="B32" s="5">
        <f>0</f>
        <v>0</v>
      </c>
      <c r="C32" s="4"/>
      <c r="D32" s="5">
        <f t="shared" si="1"/>
        <v>0</v>
      </c>
      <c r="E32" s="6" t="str">
        <f t="shared" si="2"/>
        <v/>
      </c>
      <c r="F32" s="5">
        <f>0</f>
        <v>0</v>
      </c>
      <c r="G32" s="4"/>
      <c r="H32" s="5">
        <f t="shared" si="3"/>
        <v>0</v>
      </c>
      <c r="I32" s="6" t="str">
        <f t="shared" si="4"/>
        <v/>
      </c>
      <c r="J32" s="5">
        <f>0</f>
        <v>0</v>
      </c>
      <c r="K32" s="4"/>
      <c r="L32" s="5">
        <f t="shared" si="5"/>
        <v>0</v>
      </c>
      <c r="M32" s="6" t="str">
        <f t="shared" si="6"/>
        <v/>
      </c>
      <c r="N32" s="5">
        <f>0</f>
        <v>0</v>
      </c>
      <c r="O32" s="4"/>
      <c r="P32" s="5">
        <f t="shared" si="7"/>
        <v>0</v>
      </c>
      <c r="Q32" s="6" t="str">
        <f t="shared" si="8"/>
        <v/>
      </c>
      <c r="R32" s="5">
        <f>0</f>
        <v>0</v>
      </c>
      <c r="S32" s="4"/>
      <c r="T32" s="5">
        <f t="shared" si="9"/>
        <v>0</v>
      </c>
      <c r="U32" s="6" t="str">
        <f t="shared" si="10"/>
        <v/>
      </c>
      <c r="V32" s="5">
        <f>0</f>
        <v>0</v>
      </c>
      <c r="W32" s="4"/>
      <c r="X32" s="5">
        <f t="shared" si="11"/>
        <v>0</v>
      </c>
      <c r="Y32" s="6" t="str">
        <f t="shared" si="12"/>
        <v/>
      </c>
      <c r="Z32" s="5">
        <f>0</f>
        <v>0</v>
      </c>
      <c r="AA32" s="4"/>
      <c r="AB32" s="5">
        <f t="shared" si="13"/>
        <v>0</v>
      </c>
      <c r="AC32" s="6" t="str">
        <f t="shared" si="14"/>
        <v/>
      </c>
      <c r="AD32" s="5">
        <f>0</f>
        <v>0</v>
      </c>
      <c r="AE32" s="4"/>
      <c r="AF32" s="5">
        <f t="shared" si="15"/>
        <v>0</v>
      </c>
      <c r="AG32" s="6" t="str">
        <f t="shared" si="16"/>
        <v/>
      </c>
      <c r="AH32" s="5">
        <f t="shared" si="17"/>
        <v>0</v>
      </c>
      <c r="AI32" s="5">
        <f t="shared" si="18"/>
        <v>0</v>
      </c>
      <c r="AJ32" s="5">
        <f t="shared" si="19"/>
        <v>0</v>
      </c>
      <c r="AK32" s="6" t="str">
        <f t="shared" si="20"/>
        <v/>
      </c>
    </row>
    <row r="33" spans="1:37" x14ac:dyDescent="0.3">
      <c r="A33" s="3" t="s">
        <v>39</v>
      </c>
      <c r="B33" s="7">
        <f>(((B29)+(B30))+(B31))+(B32)</f>
        <v>0</v>
      </c>
      <c r="C33" s="7">
        <f>(((C29)+(C30))+(C31))+(C32)</f>
        <v>99.169999999999987</v>
      </c>
      <c r="D33" s="7">
        <f t="shared" si="1"/>
        <v>-99.169999999999987</v>
      </c>
      <c r="E33" s="8">
        <f t="shared" si="2"/>
        <v>0</v>
      </c>
      <c r="F33" s="7">
        <f>(((F29)+(F30))+(F31))+(F32)</f>
        <v>0</v>
      </c>
      <c r="G33" s="7">
        <f>(((G29)+(G30))+(G31))+(G32)</f>
        <v>99.169999999999987</v>
      </c>
      <c r="H33" s="7">
        <f t="shared" si="3"/>
        <v>-99.169999999999987</v>
      </c>
      <c r="I33" s="8">
        <f t="shared" si="4"/>
        <v>0</v>
      </c>
      <c r="J33" s="7">
        <f>(((J29)+(J30))+(J31))+(J32)</f>
        <v>0</v>
      </c>
      <c r="K33" s="7">
        <f>(((K29)+(K30))+(K31))+(K32)</f>
        <v>99.169999999999987</v>
      </c>
      <c r="L33" s="7">
        <f t="shared" si="5"/>
        <v>-99.169999999999987</v>
      </c>
      <c r="M33" s="8">
        <f t="shared" si="6"/>
        <v>0</v>
      </c>
      <c r="N33" s="7">
        <f>(((N29)+(N30))+(N31))+(N32)</f>
        <v>1164.78</v>
      </c>
      <c r="O33" s="7">
        <f>(((O29)+(O30))+(O31))+(O32)</f>
        <v>99.169999999999987</v>
      </c>
      <c r="P33" s="7">
        <f t="shared" si="7"/>
        <v>1065.6099999999999</v>
      </c>
      <c r="Q33" s="8">
        <f t="shared" si="8"/>
        <v>11.745285872743775</v>
      </c>
      <c r="R33" s="7">
        <f>(((R29)+(R30))+(R31))+(R32)</f>
        <v>697.55</v>
      </c>
      <c r="S33" s="7">
        <f>(((S29)+(S30))+(S31))+(S32)</f>
        <v>99.169999999999987</v>
      </c>
      <c r="T33" s="7">
        <f t="shared" si="9"/>
        <v>598.38</v>
      </c>
      <c r="U33" s="8">
        <f t="shared" si="10"/>
        <v>7.0338812140768381</v>
      </c>
      <c r="V33" s="7">
        <f>(((V29)+(V30))+(V31))+(V32)</f>
        <v>180.17000000000002</v>
      </c>
      <c r="W33" s="7">
        <f>(((W29)+(W30))+(W31))+(W32)</f>
        <v>99.169999999999987</v>
      </c>
      <c r="X33" s="7">
        <f t="shared" si="11"/>
        <v>81.000000000000028</v>
      </c>
      <c r="Y33" s="8">
        <f t="shared" si="12"/>
        <v>1.8167792679237678</v>
      </c>
      <c r="Z33" s="7">
        <f>(((Z29)+(Z30))+(Z31))+(Z32)</f>
        <v>-1279.8399999999999</v>
      </c>
      <c r="AA33" s="7">
        <f>(((AA29)+(AA30))+(AA31))+(AA32)</f>
        <v>99.169999999999987</v>
      </c>
      <c r="AB33" s="7">
        <f t="shared" si="13"/>
        <v>-1379.01</v>
      </c>
      <c r="AC33" s="8">
        <f t="shared" si="14"/>
        <v>-12.905515780982153</v>
      </c>
      <c r="AD33" s="7">
        <f>(((AD29)+(AD30))+(AD31))+(AD32)</f>
        <v>0</v>
      </c>
      <c r="AE33" s="7">
        <f>(((AE29)+(AE30))+(AE31))+(AE32)</f>
        <v>99.169999999999987</v>
      </c>
      <c r="AF33" s="7">
        <f t="shared" si="15"/>
        <v>-99.169999999999987</v>
      </c>
      <c r="AG33" s="8">
        <f t="shared" si="16"/>
        <v>0</v>
      </c>
      <c r="AH33" s="7">
        <f t="shared" si="17"/>
        <v>762.66000000000008</v>
      </c>
      <c r="AI33" s="7">
        <f t="shared" si="18"/>
        <v>793.35999999999979</v>
      </c>
      <c r="AJ33" s="7">
        <f t="shared" si="19"/>
        <v>-30.699999999999704</v>
      </c>
      <c r="AK33" s="8">
        <f t="shared" si="20"/>
        <v>0.96130382172027862</v>
      </c>
    </row>
    <row r="34" spans="1:37" x14ac:dyDescent="0.3">
      <c r="A34" s="3" t="s">
        <v>40</v>
      </c>
      <c r="B34" s="4"/>
      <c r="C34" s="4"/>
      <c r="D34" s="5">
        <f t="shared" si="1"/>
        <v>0</v>
      </c>
      <c r="E34" s="6" t="str">
        <f t="shared" si="2"/>
        <v/>
      </c>
      <c r="F34" s="4"/>
      <c r="G34" s="4"/>
      <c r="H34" s="5">
        <f t="shared" si="3"/>
        <v>0</v>
      </c>
      <c r="I34" s="6" t="str">
        <f t="shared" si="4"/>
        <v/>
      </c>
      <c r="J34" s="4"/>
      <c r="K34" s="4"/>
      <c r="L34" s="5">
        <f t="shared" si="5"/>
        <v>0</v>
      </c>
      <c r="M34" s="6" t="str">
        <f t="shared" si="6"/>
        <v/>
      </c>
      <c r="N34" s="4"/>
      <c r="O34" s="4"/>
      <c r="P34" s="5">
        <f t="shared" si="7"/>
        <v>0</v>
      </c>
      <c r="Q34" s="6" t="str">
        <f t="shared" si="8"/>
        <v/>
      </c>
      <c r="R34" s="4"/>
      <c r="S34" s="4"/>
      <c r="T34" s="5">
        <f t="shared" si="9"/>
        <v>0</v>
      </c>
      <c r="U34" s="6" t="str">
        <f t="shared" si="10"/>
        <v/>
      </c>
      <c r="V34" s="4"/>
      <c r="W34" s="4"/>
      <c r="X34" s="5">
        <f t="shared" si="11"/>
        <v>0</v>
      </c>
      <c r="Y34" s="6" t="str">
        <f t="shared" si="12"/>
        <v/>
      </c>
      <c r="Z34" s="4"/>
      <c r="AA34" s="4"/>
      <c r="AB34" s="5">
        <f t="shared" si="13"/>
        <v>0</v>
      </c>
      <c r="AC34" s="6" t="str">
        <f t="shared" si="14"/>
        <v/>
      </c>
      <c r="AD34" s="4"/>
      <c r="AE34" s="4"/>
      <c r="AF34" s="5">
        <f t="shared" si="15"/>
        <v>0</v>
      </c>
      <c r="AG34" s="6" t="str">
        <f t="shared" si="16"/>
        <v/>
      </c>
      <c r="AH34" s="5">
        <f t="shared" si="17"/>
        <v>0</v>
      </c>
      <c r="AI34" s="5">
        <f t="shared" si="18"/>
        <v>0</v>
      </c>
      <c r="AJ34" s="5">
        <f t="shared" si="19"/>
        <v>0</v>
      </c>
      <c r="AK34" s="6" t="str">
        <f t="shared" si="20"/>
        <v/>
      </c>
    </row>
    <row r="35" spans="1:37" x14ac:dyDescent="0.3">
      <c r="A35" s="3" t="s">
        <v>41</v>
      </c>
      <c r="B35" s="5">
        <f>43.48</f>
        <v>43.48</v>
      </c>
      <c r="C35" s="5">
        <f>124.91</f>
        <v>124.91</v>
      </c>
      <c r="D35" s="5">
        <f t="shared" si="1"/>
        <v>-81.430000000000007</v>
      </c>
      <c r="E35" s="6">
        <f t="shared" si="2"/>
        <v>0.34809062525018014</v>
      </c>
      <c r="F35" s="5">
        <f>43.48</f>
        <v>43.48</v>
      </c>
      <c r="G35" s="5">
        <f>124.91</f>
        <v>124.91</v>
      </c>
      <c r="H35" s="5">
        <f t="shared" si="3"/>
        <v>-81.430000000000007</v>
      </c>
      <c r="I35" s="6">
        <f t="shared" si="4"/>
        <v>0.34809062525018014</v>
      </c>
      <c r="J35" s="5">
        <f>30.01</f>
        <v>30.01</v>
      </c>
      <c r="K35" s="5">
        <f>124.91</f>
        <v>124.91</v>
      </c>
      <c r="L35" s="5">
        <f t="shared" si="5"/>
        <v>-94.899999999999991</v>
      </c>
      <c r="M35" s="6">
        <f t="shared" si="6"/>
        <v>0.24025298214714597</v>
      </c>
      <c r="N35" s="5">
        <f>45.45</f>
        <v>45.45</v>
      </c>
      <c r="O35" s="5">
        <f>124.91</f>
        <v>124.91</v>
      </c>
      <c r="P35" s="5">
        <f t="shared" si="7"/>
        <v>-79.459999999999994</v>
      </c>
      <c r="Q35" s="6">
        <f t="shared" si="8"/>
        <v>0.3638619806260508</v>
      </c>
      <c r="R35" s="5">
        <f>45.45</f>
        <v>45.45</v>
      </c>
      <c r="S35" s="5">
        <f>124.91</f>
        <v>124.91</v>
      </c>
      <c r="T35" s="5">
        <f t="shared" si="9"/>
        <v>-79.459999999999994</v>
      </c>
      <c r="U35" s="6">
        <f t="shared" si="10"/>
        <v>0.3638619806260508</v>
      </c>
      <c r="V35" s="5">
        <f>45.45</f>
        <v>45.45</v>
      </c>
      <c r="W35" s="5">
        <f>124.91</f>
        <v>124.91</v>
      </c>
      <c r="X35" s="5">
        <f t="shared" si="11"/>
        <v>-79.459999999999994</v>
      </c>
      <c r="Y35" s="6">
        <f t="shared" si="12"/>
        <v>0.3638619806260508</v>
      </c>
      <c r="Z35" s="5">
        <f>45.45</f>
        <v>45.45</v>
      </c>
      <c r="AA35" s="5">
        <f>124.91</f>
        <v>124.91</v>
      </c>
      <c r="AB35" s="5">
        <f t="shared" si="13"/>
        <v>-79.459999999999994</v>
      </c>
      <c r="AC35" s="6">
        <f t="shared" si="14"/>
        <v>0.3638619806260508</v>
      </c>
      <c r="AD35" s="5">
        <f>45.45</f>
        <v>45.45</v>
      </c>
      <c r="AE35" s="5">
        <f>124.91</f>
        <v>124.91</v>
      </c>
      <c r="AF35" s="5">
        <f t="shared" si="15"/>
        <v>-79.459999999999994</v>
      </c>
      <c r="AG35" s="6">
        <f t="shared" si="16"/>
        <v>0.3638619806260508</v>
      </c>
      <c r="AH35" s="5">
        <f t="shared" si="17"/>
        <v>344.21999999999997</v>
      </c>
      <c r="AI35" s="5">
        <f t="shared" si="18"/>
        <v>999.27999999999986</v>
      </c>
      <c r="AJ35" s="5">
        <f t="shared" si="19"/>
        <v>-655.05999999999995</v>
      </c>
      <c r="AK35" s="6">
        <f t="shared" si="20"/>
        <v>0.34446801697222001</v>
      </c>
    </row>
    <row r="36" spans="1:37" x14ac:dyDescent="0.3">
      <c r="A36" s="3" t="s">
        <v>42</v>
      </c>
      <c r="B36" s="5">
        <f>23.41</f>
        <v>23.41</v>
      </c>
      <c r="C36" s="5">
        <f>67.26</f>
        <v>67.260000000000005</v>
      </c>
      <c r="D36" s="5">
        <f t="shared" si="1"/>
        <v>-43.850000000000009</v>
      </c>
      <c r="E36" s="6">
        <f t="shared" si="2"/>
        <v>0.34805233422539394</v>
      </c>
      <c r="F36" s="5">
        <f>23.41</f>
        <v>23.41</v>
      </c>
      <c r="G36" s="5">
        <f>67.26</f>
        <v>67.260000000000005</v>
      </c>
      <c r="H36" s="5">
        <f t="shared" si="3"/>
        <v>-43.850000000000009</v>
      </c>
      <c r="I36" s="6">
        <f t="shared" si="4"/>
        <v>0.34805233422539394</v>
      </c>
      <c r="J36" s="5">
        <f>16.16</f>
        <v>16.16</v>
      </c>
      <c r="K36" s="5">
        <f>67.26</f>
        <v>67.260000000000005</v>
      </c>
      <c r="L36" s="5">
        <f t="shared" si="5"/>
        <v>-51.100000000000009</v>
      </c>
      <c r="M36" s="6">
        <f t="shared" si="6"/>
        <v>0.24026167112696994</v>
      </c>
      <c r="N36" s="5">
        <f>24.48</f>
        <v>24.48</v>
      </c>
      <c r="O36" s="5">
        <f>67.26</f>
        <v>67.260000000000005</v>
      </c>
      <c r="P36" s="5">
        <f t="shared" si="7"/>
        <v>-42.78</v>
      </c>
      <c r="Q36" s="6">
        <f t="shared" si="8"/>
        <v>0.36396074933095446</v>
      </c>
      <c r="R36" s="5">
        <f>24.48</f>
        <v>24.48</v>
      </c>
      <c r="S36" s="5">
        <f>67.26</f>
        <v>67.260000000000005</v>
      </c>
      <c r="T36" s="5">
        <f t="shared" si="9"/>
        <v>-42.78</v>
      </c>
      <c r="U36" s="6">
        <f t="shared" si="10"/>
        <v>0.36396074933095446</v>
      </c>
      <c r="V36" s="5">
        <f>24.48</f>
        <v>24.48</v>
      </c>
      <c r="W36" s="5">
        <f>67.26</f>
        <v>67.260000000000005</v>
      </c>
      <c r="X36" s="5">
        <f t="shared" si="11"/>
        <v>-42.78</v>
      </c>
      <c r="Y36" s="6">
        <f t="shared" si="12"/>
        <v>0.36396074933095446</v>
      </c>
      <c r="Z36" s="5">
        <f>24.48</f>
        <v>24.48</v>
      </c>
      <c r="AA36" s="5">
        <f>67.26</f>
        <v>67.260000000000005</v>
      </c>
      <c r="AB36" s="5">
        <f t="shared" si="13"/>
        <v>-42.78</v>
      </c>
      <c r="AC36" s="6">
        <f t="shared" si="14"/>
        <v>0.36396074933095446</v>
      </c>
      <c r="AD36" s="5">
        <f>24.48</f>
        <v>24.48</v>
      </c>
      <c r="AE36" s="5">
        <f>67.26</f>
        <v>67.260000000000005</v>
      </c>
      <c r="AF36" s="5">
        <f t="shared" si="15"/>
        <v>-42.78</v>
      </c>
      <c r="AG36" s="6">
        <f t="shared" si="16"/>
        <v>0.36396074933095446</v>
      </c>
      <c r="AH36" s="5">
        <f t="shared" si="17"/>
        <v>185.38</v>
      </c>
      <c r="AI36" s="5">
        <f t="shared" si="18"/>
        <v>538.08000000000004</v>
      </c>
      <c r="AJ36" s="5">
        <f t="shared" si="19"/>
        <v>-352.70000000000005</v>
      </c>
      <c r="AK36" s="6">
        <f t="shared" si="20"/>
        <v>0.34452126077906625</v>
      </c>
    </row>
    <row r="37" spans="1:37" x14ac:dyDescent="0.3">
      <c r="A37" s="3" t="s">
        <v>43</v>
      </c>
      <c r="B37" s="5">
        <f>0</f>
        <v>0</v>
      </c>
      <c r="C37" s="4"/>
      <c r="D37" s="5">
        <f t="shared" si="1"/>
        <v>0</v>
      </c>
      <c r="E37" s="6" t="str">
        <f t="shared" si="2"/>
        <v/>
      </c>
      <c r="F37" s="5">
        <f>0</f>
        <v>0</v>
      </c>
      <c r="G37" s="4"/>
      <c r="H37" s="5">
        <f t="shared" si="3"/>
        <v>0</v>
      </c>
      <c r="I37" s="6" t="str">
        <f t="shared" si="4"/>
        <v/>
      </c>
      <c r="J37" s="5">
        <f>0</f>
        <v>0</v>
      </c>
      <c r="K37" s="4"/>
      <c r="L37" s="5">
        <f t="shared" si="5"/>
        <v>0</v>
      </c>
      <c r="M37" s="6" t="str">
        <f t="shared" si="6"/>
        <v/>
      </c>
      <c r="N37" s="5">
        <f>0</f>
        <v>0</v>
      </c>
      <c r="O37" s="4"/>
      <c r="P37" s="5">
        <f t="shared" si="7"/>
        <v>0</v>
      </c>
      <c r="Q37" s="6" t="str">
        <f t="shared" si="8"/>
        <v/>
      </c>
      <c r="R37" s="5">
        <f>0</f>
        <v>0</v>
      </c>
      <c r="S37" s="4"/>
      <c r="T37" s="5">
        <f t="shared" si="9"/>
        <v>0</v>
      </c>
      <c r="U37" s="6" t="str">
        <f t="shared" si="10"/>
        <v/>
      </c>
      <c r="V37" s="5">
        <f>0</f>
        <v>0</v>
      </c>
      <c r="W37" s="4"/>
      <c r="X37" s="5">
        <f t="shared" si="11"/>
        <v>0</v>
      </c>
      <c r="Y37" s="6" t="str">
        <f t="shared" si="12"/>
        <v/>
      </c>
      <c r="Z37" s="5">
        <f>0</f>
        <v>0</v>
      </c>
      <c r="AA37" s="4"/>
      <c r="AB37" s="5">
        <f t="shared" si="13"/>
        <v>0</v>
      </c>
      <c r="AC37" s="6" t="str">
        <f t="shared" si="14"/>
        <v/>
      </c>
      <c r="AD37" s="5">
        <f>0</f>
        <v>0</v>
      </c>
      <c r="AE37" s="4"/>
      <c r="AF37" s="5">
        <f t="shared" si="15"/>
        <v>0</v>
      </c>
      <c r="AG37" s="6" t="str">
        <f t="shared" si="16"/>
        <v/>
      </c>
      <c r="AH37" s="5">
        <f t="shared" si="17"/>
        <v>0</v>
      </c>
      <c r="AI37" s="5">
        <f t="shared" si="18"/>
        <v>0</v>
      </c>
      <c r="AJ37" s="5">
        <f t="shared" si="19"/>
        <v>0</v>
      </c>
      <c r="AK37" s="6" t="str">
        <f t="shared" si="20"/>
        <v/>
      </c>
    </row>
    <row r="38" spans="1:37" x14ac:dyDescent="0.3">
      <c r="A38" s="3" t="s">
        <v>44</v>
      </c>
      <c r="B38" s="7">
        <f>(((B34)+(B35))+(B36))+(B37)</f>
        <v>66.89</v>
      </c>
      <c r="C38" s="7">
        <f>(((C34)+(C35))+(C36))+(C37)</f>
        <v>192.17000000000002</v>
      </c>
      <c r="D38" s="7">
        <f t="shared" si="1"/>
        <v>-125.28000000000002</v>
      </c>
      <c r="E38" s="8">
        <f t="shared" si="2"/>
        <v>0.34807722329187696</v>
      </c>
      <c r="F38" s="7">
        <f>(((F34)+(F35))+(F36))+(F37)</f>
        <v>66.89</v>
      </c>
      <c r="G38" s="7">
        <f>(((G34)+(G35))+(G36))+(G37)</f>
        <v>192.17000000000002</v>
      </c>
      <c r="H38" s="7">
        <f t="shared" si="3"/>
        <v>-125.28000000000002</v>
      </c>
      <c r="I38" s="8">
        <f t="shared" si="4"/>
        <v>0.34807722329187696</v>
      </c>
      <c r="J38" s="7">
        <f>(((J34)+(J35))+(J36))+(J37)</f>
        <v>46.17</v>
      </c>
      <c r="K38" s="7">
        <f>(((K34)+(K35))+(K36))+(K37)</f>
        <v>192.17000000000002</v>
      </c>
      <c r="L38" s="7">
        <f t="shared" si="5"/>
        <v>-146</v>
      </c>
      <c r="M38" s="8">
        <f t="shared" si="6"/>
        <v>0.24025602331269189</v>
      </c>
      <c r="N38" s="7">
        <f>(((N34)+(N35))+(N36))+(N37)</f>
        <v>69.930000000000007</v>
      </c>
      <c r="O38" s="7">
        <f>(((O34)+(O35))+(O36))+(O37)</f>
        <v>192.17000000000002</v>
      </c>
      <c r="P38" s="7">
        <f t="shared" si="7"/>
        <v>-122.24000000000001</v>
      </c>
      <c r="Q38" s="8">
        <f t="shared" si="8"/>
        <v>0.36389654992974968</v>
      </c>
      <c r="R38" s="7">
        <f>(((R34)+(R35))+(R36))+(R37)</f>
        <v>69.930000000000007</v>
      </c>
      <c r="S38" s="7">
        <f>(((S34)+(S35))+(S36))+(S37)</f>
        <v>192.17000000000002</v>
      </c>
      <c r="T38" s="7">
        <f t="shared" si="9"/>
        <v>-122.24000000000001</v>
      </c>
      <c r="U38" s="8">
        <f t="shared" si="10"/>
        <v>0.36389654992974968</v>
      </c>
      <c r="V38" s="7">
        <f>(((V34)+(V35))+(V36))+(V37)</f>
        <v>69.930000000000007</v>
      </c>
      <c r="W38" s="7">
        <f>(((W34)+(W35))+(W36))+(W37)</f>
        <v>192.17000000000002</v>
      </c>
      <c r="X38" s="7">
        <f t="shared" si="11"/>
        <v>-122.24000000000001</v>
      </c>
      <c r="Y38" s="8">
        <f t="shared" si="12"/>
        <v>0.36389654992974968</v>
      </c>
      <c r="Z38" s="7">
        <f>(((Z34)+(Z35))+(Z36))+(Z37)</f>
        <v>69.930000000000007</v>
      </c>
      <c r="AA38" s="7">
        <f>(((AA34)+(AA35))+(AA36))+(AA37)</f>
        <v>192.17000000000002</v>
      </c>
      <c r="AB38" s="7">
        <f t="shared" si="13"/>
        <v>-122.24000000000001</v>
      </c>
      <c r="AC38" s="8">
        <f t="shared" si="14"/>
        <v>0.36389654992974968</v>
      </c>
      <c r="AD38" s="7">
        <f>(((AD34)+(AD35))+(AD36))+(AD37)</f>
        <v>69.930000000000007</v>
      </c>
      <c r="AE38" s="7">
        <f>(((AE34)+(AE35))+(AE36))+(AE37)</f>
        <v>192.17000000000002</v>
      </c>
      <c r="AF38" s="7">
        <f t="shared" si="15"/>
        <v>-122.24000000000001</v>
      </c>
      <c r="AG38" s="8">
        <f t="shared" si="16"/>
        <v>0.36389654992974968</v>
      </c>
      <c r="AH38" s="7">
        <f t="shared" si="17"/>
        <v>529.6</v>
      </c>
      <c r="AI38" s="7">
        <f t="shared" si="18"/>
        <v>1537.3600000000004</v>
      </c>
      <c r="AJ38" s="7">
        <f t="shared" si="19"/>
        <v>-1007.7600000000003</v>
      </c>
      <c r="AK38" s="8">
        <f t="shared" si="20"/>
        <v>0.34448665244314924</v>
      </c>
    </row>
    <row r="39" spans="1:37" x14ac:dyDescent="0.3">
      <c r="A39" s="3" t="s">
        <v>45</v>
      </c>
      <c r="B39" s="4"/>
      <c r="C39" s="4"/>
      <c r="D39" s="5">
        <f t="shared" si="1"/>
        <v>0</v>
      </c>
      <c r="E39" s="6" t="str">
        <f t="shared" si="2"/>
        <v/>
      </c>
      <c r="F39" s="4"/>
      <c r="G39" s="4"/>
      <c r="H39" s="5">
        <f t="shared" si="3"/>
        <v>0</v>
      </c>
      <c r="I39" s="6" t="str">
        <f t="shared" si="4"/>
        <v/>
      </c>
      <c r="J39" s="4"/>
      <c r="K39" s="4"/>
      <c r="L39" s="5">
        <f t="shared" si="5"/>
        <v>0</v>
      </c>
      <c r="M39" s="6" t="str">
        <f t="shared" si="6"/>
        <v/>
      </c>
      <c r="N39" s="4"/>
      <c r="O39" s="4"/>
      <c r="P39" s="5">
        <f t="shared" si="7"/>
        <v>0</v>
      </c>
      <c r="Q39" s="6" t="str">
        <f t="shared" si="8"/>
        <v/>
      </c>
      <c r="R39" s="4"/>
      <c r="S39" s="4"/>
      <c r="T39" s="5">
        <f t="shared" si="9"/>
        <v>0</v>
      </c>
      <c r="U39" s="6" t="str">
        <f t="shared" si="10"/>
        <v/>
      </c>
      <c r="V39" s="4"/>
      <c r="W39" s="4"/>
      <c r="X39" s="5">
        <f t="shared" si="11"/>
        <v>0</v>
      </c>
      <c r="Y39" s="6" t="str">
        <f t="shared" si="12"/>
        <v/>
      </c>
      <c r="Z39" s="4"/>
      <c r="AA39" s="4"/>
      <c r="AB39" s="5">
        <f t="shared" si="13"/>
        <v>0</v>
      </c>
      <c r="AC39" s="6" t="str">
        <f t="shared" si="14"/>
        <v/>
      </c>
      <c r="AD39" s="4"/>
      <c r="AE39" s="4"/>
      <c r="AF39" s="5">
        <f t="shared" si="15"/>
        <v>0</v>
      </c>
      <c r="AG39" s="6" t="str">
        <f t="shared" si="16"/>
        <v/>
      </c>
      <c r="AH39" s="5">
        <f t="shared" si="17"/>
        <v>0</v>
      </c>
      <c r="AI39" s="5">
        <f t="shared" si="18"/>
        <v>0</v>
      </c>
      <c r="AJ39" s="5">
        <f t="shared" si="19"/>
        <v>0</v>
      </c>
      <c r="AK39" s="6" t="str">
        <f t="shared" si="20"/>
        <v/>
      </c>
    </row>
    <row r="40" spans="1:37" x14ac:dyDescent="0.3">
      <c r="A40" s="3" t="s">
        <v>46</v>
      </c>
      <c r="B40" s="5">
        <f>-346.4</f>
        <v>-346.4</v>
      </c>
      <c r="C40" s="5">
        <f>1163.01</f>
        <v>1163.01</v>
      </c>
      <c r="D40" s="5">
        <f t="shared" si="1"/>
        <v>-1509.4099999999999</v>
      </c>
      <c r="E40" s="6">
        <f t="shared" si="2"/>
        <v>-0.29784782590003522</v>
      </c>
      <c r="F40" s="5">
        <f>902.99</f>
        <v>902.99</v>
      </c>
      <c r="G40" s="5">
        <f>1163.01</f>
        <v>1163.01</v>
      </c>
      <c r="H40" s="5">
        <f t="shared" si="3"/>
        <v>-260.02</v>
      </c>
      <c r="I40" s="6">
        <f t="shared" si="4"/>
        <v>0.77642496625136503</v>
      </c>
      <c r="J40" s="5">
        <f>652.09</f>
        <v>652.09</v>
      </c>
      <c r="K40" s="5">
        <f>1163.01</f>
        <v>1163.01</v>
      </c>
      <c r="L40" s="5">
        <f t="shared" si="5"/>
        <v>-510.91999999999996</v>
      </c>
      <c r="M40" s="6">
        <f t="shared" si="6"/>
        <v>0.56069165355413975</v>
      </c>
      <c r="N40" s="5">
        <f>5505.29</f>
        <v>5505.29</v>
      </c>
      <c r="O40" s="5">
        <f>1163.01</f>
        <v>1163.01</v>
      </c>
      <c r="P40" s="5">
        <f t="shared" si="7"/>
        <v>4342.28</v>
      </c>
      <c r="Q40" s="6">
        <f t="shared" si="8"/>
        <v>4.7336566323591374</v>
      </c>
      <c r="R40" s="5">
        <f>825.29</f>
        <v>825.29</v>
      </c>
      <c r="S40" s="5">
        <f>1163.01</f>
        <v>1163.01</v>
      </c>
      <c r="T40" s="5">
        <f t="shared" si="9"/>
        <v>-337.72</v>
      </c>
      <c r="U40" s="6">
        <f t="shared" si="10"/>
        <v>0.70961556650415725</v>
      </c>
      <c r="V40" s="5">
        <f>825.29</f>
        <v>825.29</v>
      </c>
      <c r="W40" s="5">
        <f>1163.01</f>
        <v>1163.01</v>
      </c>
      <c r="X40" s="5">
        <f t="shared" si="11"/>
        <v>-337.72</v>
      </c>
      <c r="Y40" s="6">
        <f t="shared" si="12"/>
        <v>0.70961556650415725</v>
      </c>
      <c r="Z40" s="5">
        <f>825.29</f>
        <v>825.29</v>
      </c>
      <c r="AA40" s="5">
        <f>1163.01</f>
        <v>1163.01</v>
      </c>
      <c r="AB40" s="5">
        <f t="shared" si="13"/>
        <v>-337.72</v>
      </c>
      <c r="AC40" s="6">
        <f t="shared" si="14"/>
        <v>0.70961556650415725</v>
      </c>
      <c r="AD40" s="5">
        <f>1996.08</f>
        <v>1996.08</v>
      </c>
      <c r="AE40" s="5">
        <f>1163.01</f>
        <v>1163.01</v>
      </c>
      <c r="AF40" s="5">
        <f t="shared" si="15"/>
        <v>833.06999999999994</v>
      </c>
      <c r="AG40" s="6">
        <f t="shared" si="16"/>
        <v>1.716305104857224</v>
      </c>
      <c r="AH40" s="5">
        <f t="shared" si="17"/>
        <v>11185.92</v>
      </c>
      <c r="AI40" s="5">
        <f t="shared" si="18"/>
        <v>9304.08</v>
      </c>
      <c r="AJ40" s="5">
        <f t="shared" si="19"/>
        <v>1881.8400000000001</v>
      </c>
      <c r="AK40" s="6">
        <f t="shared" si="20"/>
        <v>1.2022596538292878</v>
      </c>
    </row>
    <row r="41" spans="1:37" x14ac:dyDescent="0.3">
      <c r="A41" s="3" t="s">
        <v>47</v>
      </c>
      <c r="B41" s="5">
        <f>-186.52</f>
        <v>-186.52</v>
      </c>
      <c r="C41" s="5">
        <f>626.24</f>
        <v>626.24</v>
      </c>
      <c r="D41" s="5">
        <f t="shared" si="1"/>
        <v>-812.76</v>
      </c>
      <c r="E41" s="6">
        <f t="shared" si="2"/>
        <v>-0.29784108329075115</v>
      </c>
      <c r="F41" s="5">
        <f>486.23</f>
        <v>486.23</v>
      </c>
      <c r="G41" s="5">
        <f>626.24</f>
        <v>626.24</v>
      </c>
      <c r="H41" s="5">
        <f t="shared" si="3"/>
        <v>-140.01</v>
      </c>
      <c r="I41" s="6">
        <f t="shared" si="4"/>
        <v>0.77642756770567201</v>
      </c>
      <c r="J41" s="5">
        <f>351.13</f>
        <v>351.13</v>
      </c>
      <c r="K41" s="5">
        <f>626.24</f>
        <v>626.24</v>
      </c>
      <c r="L41" s="5">
        <f t="shared" si="5"/>
        <v>-275.11</v>
      </c>
      <c r="M41" s="6">
        <f t="shared" si="6"/>
        <v>0.56069557996934083</v>
      </c>
      <c r="N41" s="5">
        <f>2964.39</f>
        <v>2964.39</v>
      </c>
      <c r="O41" s="5">
        <f>626.24</f>
        <v>626.24</v>
      </c>
      <c r="P41" s="5">
        <f t="shared" si="7"/>
        <v>2338.1499999999996</v>
      </c>
      <c r="Q41" s="6">
        <f t="shared" si="8"/>
        <v>4.7336324731732242</v>
      </c>
      <c r="R41" s="5">
        <f>444.39</f>
        <v>444.39</v>
      </c>
      <c r="S41" s="5">
        <f>626.24</f>
        <v>626.24</v>
      </c>
      <c r="T41" s="5">
        <f t="shared" si="9"/>
        <v>-181.85000000000002</v>
      </c>
      <c r="U41" s="6">
        <f t="shared" si="10"/>
        <v>0.70961612161471632</v>
      </c>
      <c r="V41" s="5">
        <f>444.39</f>
        <v>444.39</v>
      </c>
      <c r="W41" s="5">
        <f>626.24</f>
        <v>626.24</v>
      </c>
      <c r="X41" s="5">
        <f t="shared" si="11"/>
        <v>-181.85000000000002</v>
      </c>
      <c r="Y41" s="6">
        <f t="shared" si="12"/>
        <v>0.70961612161471632</v>
      </c>
      <c r="Z41" s="5">
        <f>444.39</f>
        <v>444.39</v>
      </c>
      <c r="AA41" s="5">
        <f>626.24</f>
        <v>626.24</v>
      </c>
      <c r="AB41" s="5">
        <f t="shared" si="13"/>
        <v>-181.85000000000002</v>
      </c>
      <c r="AC41" s="6">
        <f t="shared" si="14"/>
        <v>0.70961612161471632</v>
      </c>
      <c r="AD41" s="5">
        <f>1075.3</f>
        <v>1075.3</v>
      </c>
      <c r="AE41" s="5">
        <f>626.24</f>
        <v>626.24</v>
      </c>
      <c r="AF41" s="5">
        <f t="shared" si="15"/>
        <v>449.05999999999995</v>
      </c>
      <c r="AG41" s="6">
        <f t="shared" si="16"/>
        <v>1.7170733265201839</v>
      </c>
      <c r="AH41" s="5">
        <f t="shared" si="17"/>
        <v>6023.7000000000007</v>
      </c>
      <c r="AI41" s="5">
        <f t="shared" si="18"/>
        <v>5009.9199999999992</v>
      </c>
      <c r="AJ41" s="5">
        <f t="shared" si="19"/>
        <v>1013.7800000000016</v>
      </c>
      <c r="AK41" s="6">
        <f t="shared" si="20"/>
        <v>1.2023545286152277</v>
      </c>
    </row>
    <row r="42" spans="1:37" x14ac:dyDescent="0.3">
      <c r="A42" s="3" t="s">
        <v>48</v>
      </c>
      <c r="B42" s="5">
        <f>0</f>
        <v>0</v>
      </c>
      <c r="C42" s="4"/>
      <c r="D42" s="5">
        <f t="shared" si="1"/>
        <v>0</v>
      </c>
      <c r="E42" s="6" t="str">
        <f t="shared" si="2"/>
        <v/>
      </c>
      <c r="F42" s="5">
        <f>0</f>
        <v>0</v>
      </c>
      <c r="G42" s="4"/>
      <c r="H42" s="5">
        <f t="shared" si="3"/>
        <v>0</v>
      </c>
      <c r="I42" s="6" t="str">
        <f t="shared" si="4"/>
        <v/>
      </c>
      <c r="J42" s="5">
        <f>0</f>
        <v>0</v>
      </c>
      <c r="K42" s="4"/>
      <c r="L42" s="5">
        <f t="shared" si="5"/>
        <v>0</v>
      </c>
      <c r="M42" s="6" t="str">
        <f t="shared" si="6"/>
        <v/>
      </c>
      <c r="N42" s="5">
        <f>0</f>
        <v>0</v>
      </c>
      <c r="O42" s="4"/>
      <c r="P42" s="5">
        <f t="shared" si="7"/>
        <v>0</v>
      </c>
      <c r="Q42" s="6" t="str">
        <f t="shared" si="8"/>
        <v/>
      </c>
      <c r="R42" s="5">
        <f>0</f>
        <v>0</v>
      </c>
      <c r="S42" s="4"/>
      <c r="T42" s="5">
        <f t="shared" si="9"/>
        <v>0</v>
      </c>
      <c r="U42" s="6" t="str">
        <f t="shared" si="10"/>
        <v/>
      </c>
      <c r="V42" s="5">
        <f>0</f>
        <v>0</v>
      </c>
      <c r="W42" s="4"/>
      <c r="X42" s="5">
        <f t="shared" si="11"/>
        <v>0</v>
      </c>
      <c r="Y42" s="6" t="str">
        <f t="shared" si="12"/>
        <v/>
      </c>
      <c r="Z42" s="5">
        <f>0</f>
        <v>0</v>
      </c>
      <c r="AA42" s="4"/>
      <c r="AB42" s="5">
        <f t="shared" si="13"/>
        <v>0</v>
      </c>
      <c r="AC42" s="6" t="str">
        <f t="shared" si="14"/>
        <v/>
      </c>
      <c r="AD42" s="5">
        <f>0</f>
        <v>0</v>
      </c>
      <c r="AE42" s="4"/>
      <c r="AF42" s="5">
        <f t="shared" si="15"/>
        <v>0</v>
      </c>
      <c r="AG42" s="6" t="str">
        <f t="shared" si="16"/>
        <v/>
      </c>
      <c r="AH42" s="5">
        <f t="shared" si="17"/>
        <v>0</v>
      </c>
      <c r="AI42" s="5">
        <f t="shared" si="18"/>
        <v>0</v>
      </c>
      <c r="AJ42" s="5">
        <f t="shared" si="19"/>
        <v>0</v>
      </c>
      <c r="AK42" s="6" t="str">
        <f t="shared" si="20"/>
        <v/>
      </c>
    </row>
    <row r="43" spans="1:37" x14ac:dyDescent="0.3">
      <c r="A43" s="3" t="s">
        <v>49</v>
      </c>
      <c r="B43" s="7">
        <f>(((B39)+(B40))+(B41))+(B42)</f>
        <v>-532.91999999999996</v>
      </c>
      <c r="C43" s="7">
        <f>(((C39)+(C40))+(C41))+(C42)</f>
        <v>1789.25</v>
      </c>
      <c r="D43" s="7">
        <f t="shared" si="1"/>
        <v>-2322.17</v>
      </c>
      <c r="E43" s="8">
        <f t="shared" si="2"/>
        <v>-0.29784546597736478</v>
      </c>
      <c r="F43" s="7">
        <f>(((F39)+(F40))+(F41))+(F42)</f>
        <v>1389.22</v>
      </c>
      <c r="G43" s="7">
        <f>(((G39)+(G40))+(G41))+(G42)</f>
        <v>1789.25</v>
      </c>
      <c r="H43" s="7">
        <f t="shared" si="3"/>
        <v>-400.03</v>
      </c>
      <c r="I43" s="8">
        <f t="shared" si="4"/>
        <v>0.77642587676400732</v>
      </c>
      <c r="J43" s="7">
        <f>(((J39)+(J40))+(J41))+(J42)</f>
        <v>1003.22</v>
      </c>
      <c r="K43" s="7">
        <f>(((K39)+(K40))+(K41))+(K42)</f>
        <v>1789.25</v>
      </c>
      <c r="L43" s="7">
        <f t="shared" si="5"/>
        <v>-786.03</v>
      </c>
      <c r="M43" s="8">
        <f t="shared" si="6"/>
        <v>0.56069302780494623</v>
      </c>
      <c r="N43" s="7">
        <f>(((N39)+(N40))+(N41))+(N42)</f>
        <v>8469.68</v>
      </c>
      <c r="O43" s="7">
        <f>(((O39)+(O40))+(O41))+(O42)</f>
        <v>1789.25</v>
      </c>
      <c r="P43" s="7">
        <f t="shared" si="7"/>
        <v>6680.43</v>
      </c>
      <c r="Q43" s="8">
        <f t="shared" si="8"/>
        <v>4.7336481766103118</v>
      </c>
      <c r="R43" s="7">
        <f>(((R39)+(R40))+(R41))+(R42)</f>
        <v>1269.6799999999998</v>
      </c>
      <c r="S43" s="7">
        <f>(((S39)+(S40))+(S41))+(S42)</f>
        <v>1789.25</v>
      </c>
      <c r="T43" s="7">
        <f t="shared" si="9"/>
        <v>-519.57000000000016</v>
      </c>
      <c r="U43" s="8">
        <f t="shared" si="10"/>
        <v>0.70961576079362854</v>
      </c>
      <c r="V43" s="7">
        <f>(((V39)+(V40))+(V41))+(V42)</f>
        <v>1269.6799999999998</v>
      </c>
      <c r="W43" s="7">
        <f>(((W39)+(W40))+(W41))+(W42)</f>
        <v>1789.25</v>
      </c>
      <c r="X43" s="7">
        <f t="shared" si="11"/>
        <v>-519.57000000000016</v>
      </c>
      <c r="Y43" s="8">
        <f t="shared" si="12"/>
        <v>0.70961576079362854</v>
      </c>
      <c r="Z43" s="7">
        <f>(((Z39)+(Z40))+(Z41))+(Z42)</f>
        <v>1269.6799999999998</v>
      </c>
      <c r="AA43" s="7">
        <f>(((AA39)+(AA40))+(AA41))+(AA42)</f>
        <v>1789.25</v>
      </c>
      <c r="AB43" s="7">
        <f t="shared" si="13"/>
        <v>-519.57000000000016</v>
      </c>
      <c r="AC43" s="8">
        <f t="shared" si="14"/>
        <v>0.70961576079362854</v>
      </c>
      <c r="AD43" s="7">
        <f>(((AD39)+(AD40))+(AD41))+(AD42)</f>
        <v>3071.38</v>
      </c>
      <c r="AE43" s="7">
        <f>(((AE39)+(AE40))+(AE41))+(AE42)</f>
        <v>1789.25</v>
      </c>
      <c r="AF43" s="7">
        <f t="shared" si="15"/>
        <v>1282.1300000000001</v>
      </c>
      <c r="AG43" s="8">
        <f t="shared" si="16"/>
        <v>1.716573983512645</v>
      </c>
      <c r="AH43" s="7">
        <f t="shared" si="17"/>
        <v>17209.620000000003</v>
      </c>
      <c r="AI43" s="7">
        <f t="shared" si="18"/>
        <v>14314</v>
      </c>
      <c r="AJ43" s="7">
        <f t="shared" si="19"/>
        <v>2895.6200000000026</v>
      </c>
      <c r="AK43" s="8">
        <f t="shared" si="20"/>
        <v>1.2022928601369292</v>
      </c>
    </row>
    <row r="44" spans="1:37" x14ac:dyDescent="0.3">
      <c r="A44" s="3" t="s">
        <v>50</v>
      </c>
      <c r="B44" s="4"/>
      <c r="C44" s="4"/>
      <c r="D44" s="5">
        <f t="shared" si="1"/>
        <v>0</v>
      </c>
      <c r="E44" s="6" t="str">
        <f t="shared" si="2"/>
        <v/>
      </c>
      <c r="F44" s="4"/>
      <c r="G44" s="4"/>
      <c r="H44" s="5">
        <f t="shared" si="3"/>
        <v>0</v>
      </c>
      <c r="I44" s="6" t="str">
        <f t="shared" si="4"/>
        <v/>
      </c>
      <c r="J44" s="4"/>
      <c r="K44" s="4"/>
      <c r="L44" s="5">
        <f t="shared" si="5"/>
        <v>0</v>
      </c>
      <c r="M44" s="6" t="str">
        <f t="shared" si="6"/>
        <v/>
      </c>
      <c r="N44" s="4"/>
      <c r="O44" s="4"/>
      <c r="P44" s="5">
        <f t="shared" si="7"/>
        <v>0</v>
      </c>
      <c r="Q44" s="6" t="str">
        <f t="shared" si="8"/>
        <v/>
      </c>
      <c r="R44" s="4"/>
      <c r="S44" s="4"/>
      <c r="T44" s="5">
        <f t="shared" si="9"/>
        <v>0</v>
      </c>
      <c r="U44" s="6" t="str">
        <f t="shared" si="10"/>
        <v/>
      </c>
      <c r="V44" s="4"/>
      <c r="W44" s="4"/>
      <c r="X44" s="5">
        <f t="shared" si="11"/>
        <v>0</v>
      </c>
      <c r="Y44" s="6" t="str">
        <f t="shared" si="12"/>
        <v/>
      </c>
      <c r="Z44" s="4"/>
      <c r="AA44" s="4"/>
      <c r="AB44" s="5">
        <f t="shared" si="13"/>
        <v>0</v>
      </c>
      <c r="AC44" s="6" t="str">
        <f t="shared" si="14"/>
        <v/>
      </c>
      <c r="AD44" s="4"/>
      <c r="AE44" s="4"/>
      <c r="AF44" s="5">
        <f t="shared" si="15"/>
        <v>0</v>
      </c>
      <c r="AG44" s="6" t="str">
        <f t="shared" si="16"/>
        <v/>
      </c>
      <c r="AH44" s="5">
        <f t="shared" si="17"/>
        <v>0</v>
      </c>
      <c r="AI44" s="5">
        <f t="shared" si="18"/>
        <v>0</v>
      </c>
      <c r="AJ44" s="5">
        <f t="shared" si="19"/>
        <v>0</v>
      </c>
      <c r="AK44" s="6" t="str">
        <f t="shared" si="20"/>
        <v/>
      </c>
    </row>
    <row r="45" spans="1:37" x14ac:dyDescent="0.3">
      <c r="A45" s="3" t="s">
        <v>51</v>
      </c>
      <c r="B45" s="5">
        <f>202.25</f>
        <v>202.25</v>
      </c>
      <c r="C45" s="5">
        <f>154.59</f>
        <v>154.59</v>
      </c>
      <c r="D45" s="5">
        <f t="shared" si="1"/>
        <v>47.66</v>
      </c>
      <c r="E45" s="6">
        <f t="shared" si="2"/>
        <v>1.308299372533799</v>
      </c>
      <c r="F45" s="5">
        <f>202.25</f>
        <v>202.25</v>
      </c>
      <c r="G45" s="5">
        <f>154.59</f>
        <v>154.59</v>
      </c>
      <c r="H45" s="5">
        <f t="shared" si="3"/>
        <v>47.66</v>
      </c>
      <c r="I45" s="6">
        <f t="shared" si="4"/>
        <v>1.308299372533799</v>
      </c>
      <c r="J45" s="5">
        <f>202.25</f>
        <v>202.25</v>
      </c>
      <c r="K45" s="5">
        <f>154.59</f>
        <v>154.59</v>
      </c>
      <c r="L45" s="5">
        <f t="shared" si="5"/>
        <v>47.66</v>
      </c>
      <c r="M45" s="6">
        <f t="shared" si="6"/>
        <v>1.308299372533799</v>
      </c>
      <c r="N45" s="5">
        <f>202.25</f>
        <v>202.25</v>
      </c>
      <c r="O45" s="5">
        <f>154.59</f>
        <v>154.59</v>
      </c>
      <c r="P45" s="5">
        <f t="shared" si="7"/>
        <v>47.66</v>
      </c>
      <c r="Q45" s="6">
        <f t="shared" si="8"/>
        <v>1.308299372533799</v>
      </c>
      <c r="R45" s="5">
        <f>202.25</f>
        <v>202.25</v>
      </c>
      <c r="S45" s="5">
        <f>154.59</f>
        <v>154.59</v>
      </c>
      <c r="T45" s="5">
        <f t="shared" si="9"/>
        <v>47.66</v>
      </c>
      <c r="U45" s="6">
        <f t="shared" si="10"/>
        <v>1.308299372533799</v>
      </c>
      <c r="V45" s="5">
        <f>202.25</f>
        <v>202.25</v>
      </c>
      <c r="W45" s="5">
        <f>154.59</f>
        <v>154.59</v>
      </c>
      <c r="X45" s="5">
        <f t="shared" si="11"/>
        <v>47.66</v>
      </c>
      <c r="Y45" s="6">
        <f t="shared" si="12"/>
        <v>1.308299372533799</v>
      </c>
      <c r="Z45" s="5">
        <f>202.25</f>
        <v>202.25</v>
      </c>
      <c r="AA45" s="5">
        <f>154.59</f>
        <v>154.59</v>
      </c>
      <c r="AB45" s="5">
        <f t="shared" si="13"/>
        <v>47.66</v>
      </c>
      <c r="AC45" s="6">
        <f t="shared" si="14"/>
        <v>1.308299372533799</v>
      </c>
      <c r="AD45" s="5">
        <f>202.25</f>
        <v>202.25</v>
      </c>
      <c r="AE45" s="5">
        <f>154.59</f>
        <v>154.59</v>
      </c>
      <c r="AF45" s="5">
        <f t="shared" si="15"/>
        <v>47.66</v>
      </c>
      <c r="AG45" s="6">
        <f t="shared" si="16"/>
        <v>1.308299372533799</v>
      </c>
      <c r="AH45" s="5">
        <f t="shared" si="17"/>
        <v>1618</v>
      </c>
      <c r="AI45" s="5">
        <f t="shared" si="18"/>
        <v>1236.72</v>
      </c>
      <c r="AJ45" s="5">
        <f t="shared" si="19"/>
        <v>381.28</v>
      </c>
      <c r="AK45" s="6">
        <f t="shared" si="20"/>
        <v>1.308299372533799</v>
      </c>
    </row>
    <row r="46" spans="1:37" x14ac:dyDescent="0.3">
      <c r="A46" s="3" t="s">
        <v>52</v>
      </c>
      <c r="B46" s="5">
        <f>108.9</f>
        <v>108.9</v>
      </c>
      <c r="C46" s="5">
        <f>83.24</f>
        <v>83.24</v>
      </c>
      <c r="D46" s="5">
        <f t="shared" ref="D46:D77" si="21">(B46)-(C46)</f>
        <v>25.660000000000011</v>
      </c>
      <c r="E46" s="6">
        <f t="shared" ref="E46:E77" si="22">IF(C46=0,"",(B46)/(C46))</f>
        <v>1.3082652570879387</v>
      </c>
      <c r="F46" s="5">
        <f>108.9</f>
        <v>108.9</v>
      </c>
      <c r="G46" s="5">
        <f>83.24</f>
        <v>83.24</v>
      </c>
      <c r="H46" s="5">
        <f t="shared" ref="H46:H77" si="23">(F46)-(G46)</f>
        <v>25.660000000000011</v>
      </c>
      <c r="I46" s="6">
        <f t="shared" ref="I46:I77" si="24">IF(G46=0,"",(F46)/(G46))</f>
        <v>1.3082652570879387</v>
      </c>
      <c r="J46" s="5">
        <f>108.9</f>
        <v>108.9</v>
      </c>
      <c r="K46" s="5">
        <f>83.24</f>
        <v>83.24</v>
      </c>
      <c r="L46" s="5">
        <f t="shared" ref="L46:L77" si="25">(J46)-(K46)</f>
        <v>25.660000000000011</v>
      </c>
      <c r="M46" s="6">
        <f t="shared" ref="M46:M77" si="26">IF(K46=0,"",(J46)/(K46))</f>
        <v>1.3082652570879387</v>
      </c>
      <c r="N46" s="5">
        <f>108.9</f>
        <v>108.9</v>
      </c>
      <c r="O46" s="5">
        <f>83.24</f>
        <v>83.24</v>
      </c>
      <c r="P46" s="5">
        <f t="shared" ref="P46:P77" si="27">(N46)-(O46)</f>
        <v>25.660000000000011</v>
      </c>
      <c r="Q46" s="6">
        <f t="shared" ref="Q46:Q77" si="28">IF(O46=0,"",(N46)/(O46))</f>
        <v>1.3082652570879387</v>
      </c>
      <c r="R46" s="5">
        <f>108.9</f>
        <v>108.9</v>
      </c>
      <c r="S46" s="5">
        <f>83.24</f>
        <v>83.24</v>
      </c>
      <c r="T46" s="5">
        <f t="shared" ref="T46:T77" si="29">(R46)-(S46)</f>
        <v>25.660000000000011</v>
      </c>
      <c r="U46" s="6">
        <f t="shared" ref="U46:U77" si="30">IF(S46=0,"",(R46)/(S46))</f>
        <v>1.3082652570879387</v>
      </c>
      <c r="V46" s="5">
        <f>108.9</f>
        <v>108.9</v>
      </c>
      <c r="W46" s="5">
        <f>83.24</f>
        <v>83.24</v>
      </c>
      <c r="X46" s="5">
        <f t="shared" ref="X46:X77" si="31">(V46)-(W46)</f>
        <v>25.660000000000011</v>
      </c>
      <c r="Y46" s="6">
        <f t="shared" ref="Y46:Y77" si="32">IF(W46=0,"",(V46)/(W46))</f>
        <v>1.3082652570879387</v>
      </c>
      <c r="Z46" s="5">
        <f>108.9</f>
        <v>108.9</v>
      </c>
      <c r="AA46" s="5">
        <f>83.24</f>
        <v>83.24</v>
      </c>
      <c r="AB46" s="5">
        <f t="shared" ref="AB46:AB77" si="33">(Z46)-(AA46)</f>
        <v>25.660000000000011</v>
      </c>
      <c r="AC46" s="6">
        <f t="shared" ref="AC46:AC77" si="34">IF(AA46=0,"",(Z46)/(AA46))</f>
        <v>1.3082652570879387</v>
      </c>
      <c r="AD46" s="5">
        <f>108.9</f>
        <v>108.9</v>
      </c>
      <c r="AE46" s="5">
        <f>83.24</f>
        <v>83.24</v>
      </c>
      <c r="AF46" s="5">
        <f t="shared" ref="AF46:AF77" si="35">(AD46)-(AE46)</f>
        <v>25.660000000000011</v>
      </c>
      <c r="AG46" s="6">
        <f t="shared" ref="AG46:AG77" si="36">IF(AE46=0,"",(AD46)/(AE46))</f>
        <v>1.3082652570879387</v>
      </c>
      <c r="AH46" s="5">
        <f t="shared" ref="AH46:AH77" si="37">(((((((B46)+(F46))+(J46))+(N46))+(R46))+(V46))+(Z46))+(AD46)</f>
        <v>871.19999999999993</v>
      </c>
      <c r="AI46" s="5">
        <f t="shared" ref="AI46:AI77" si="38">(((((((C46)+(G46))+(K46))+(O46))+(S46))+(W46))+(AA46))+(AE46)</f>
        <v>665.92</v>
      </c>
      <c r="AJ46" s="5">
        <f t="shared" ref="AJ46:AJ77" si="39">(AH46)-(AI46)</f>
        <v>205.27999999999997</v>
      </c>
      <c r="AK46" s="6">
        <f t="shared" ref="AK46:AK77" si="40">IF(AI46=0,"",(AH46)/(AI46))</f>
        <v>1.3082652570879385</v>
      </c>
    </row>
    <row r="47" spans="1:37" x14ac:dyDescent="0.3">
      <c r="A47" s="3" t="s">
        <v>53</v>
      </c>
      <c r="B47" s="5">
        <f>0</f>
        <v>0</v>
      </c>
      <c r="C47" s="4"/>
      <c r="D47" s="5">
        <f t="shared" si="21"/>
        <v>0</v>
      </c>
      <c r="E47" s="6" t="str">
        <f t="shared" si="22"/>
        <v/>
      </c>
      <c r="F47" s="5">
        <f>0</f>
        <v>0</v>
      </c>
      <c r="G47" s="4"/>
      <c r="H47" s="5">
        <f t="shared" si="23"/>
        <v>0</v>
      </c>
      <c r="I47" s="6" t="str">
        <f t="shared" si="24"/>
        <v/>
      </c>
      <c r="J47" s="5">
        <f>0</f>
        <v>0</v>
      </c>
      <c r="K47" s="4"/>
      <c r="L47" s="5">
        <f t="shared" si="25"/>
        <v>0</v>
      </c>
      <c r="M47" s="6" t="str">
        <f t="shared" si="26"/>
        <v/>
      </c>
      <c r="N47" s="5">
        <f>0</f>
        <v>0</v>
      </c>
      <c r="O47" s="4"/>
      <c r="P47" s="5">
        <f t="shared" si="27"/>
        <v>0</v>
      </c>
      <c r="Q47" s="6" t="str">
        <f t="shared" si="28"/>
        <v/>
      </c>
      <c r="R47" s="5">
        <f>0</f>
        <v>0</v>
      </c>
      <c r="S47" s="4"/>
      <c r="T47" s="5">
        <f t="shared" si="29"/>
        <v>0</v>
      </c>
      <c r="U47" s="6" t="str">
        <f t="shared" si="30"/>
        <v/>
      </c>
      <c r="V47" s="5">
        <f>0</f>
        <v>0</v>
      </c>
      <c r="W47" s="4"/>
      <c r="X47" s="5">
        <f t="shared" si="31"/>
        <v>0</v>
      </c>
      <c r="Y47" s="6" t="str">
        <f t="shared" si="32"/>
        <v/>
      </c>
      <c r="Z47" s="5">
        <f>0</f>
        <v>0</v>
      </c>
      <c r="AA47" s="4"/>
      <c r="AB47" s="5">
        <f t="shared" si="33"/>
        <v>0</v>
      </c>
      <c r="AC47" s="6" t="str">
        <f t="shared" si="34"/>
        <v/>
      </c>
      <c r="AD47" s="5">
        <f>0</f>
        <v>0</v>
      </c>
      <c r="AE47" s="4"/>
      <c r="AF47" s="5">
        <f t="shared" si="35"/>
        <v>0</v>
      </c>
      <c r="AG47" s="6" t="str">
        <f t="shared" si="36"/>
        <v/>
      </c>
      <c r="AH47" s="5">
        <f t="shared" si="37"/>
        <v>0</v>
      </c>
      <c r="AI47" s="5">
        <f t="shared" si="38"/>
        <v>0</v>
      </c>
      <c r="AJ47" s="5">
        <f t="shared" si="39"/>
        <v>0</v>
      </c>
      <c r="AK47" s="6" t="str">
        <f t="shared" si="40"/>
        <v/>
      </c>
    </row>
    <row r="48" spans="1:37" x14ac:dyDescent="0.3">
      <c r="A48" s="3" t="s">
        <v>54</v>
      </c>
      <c r="B48" s="7">
        <f>(((B44)+(B45))+(B46))+(B47)</f>
        <v>311.14999999999998</v>
      </c>
      <c r="C48" s="7">
        <f>(((C44)+(C45))+(C46))+(C47)</f>
        <v>237.82999999999998</v>
      </c>
      <c r="D48" s="7">
        <f t="shared" si="21"/>
        <v>73.319999999999993</v>
      </c>
      <c r="E48" s="8">
        <f t="shared" si="22"/>
        <v>1.3082874321994702</v>
      </c>
      <c r="F48" s="7">
        <f>(((F44)+(F45))+(F46))+(F47)</f>
        <v>311.14999999999998</v>
      </c>
      <c r="G48" s="7">
        <f>(((G44)+(G45))+(G46))+(G47)</f>
        <v>237.82999999999998</v>
      </c>
      <c r="H48" s="7">
        <f t="shared" si="23"/>
        <v>73.319999999999993</v>
      </c>
      <c r="I48" s="8">
        <f t="shared" si="24"/>
        <v>1.3082874321994702</v>
      </c>
      <c r="J48" s="7">
        <f>(((J44)+(J45))+(J46))+(J47)</f>
        <v>311.14999999999998</v>
      </c>
      <c r="K48" s="7">
        <f>(((K44)+(K45))+(K46))+(K47)</f>
        <v>237.82999999999998</v>
      </c>
      <c r="L48" s="7">
        <f t="shared" si="25"/>
        <v>73.319999999999993</v>
      </c>
      <c r="M48" s="8">
        <f t="shared" si="26"/>
        <v>1.3082874321994702</v>
      </c>
      <c r="N48" s="7">
        <f>(((N44)+(N45))+(N46))+(N47)</f>
        <v>311.14999999999998</v>
      </c>
      <c r="O48" s="7">
        <f>(((O44)+(O45))+(O46))+(O47)</f>
        <v>237.82999999999998</v>
      </c>
      <c r="P48" s="7">
        <f t="shared" si="27"/>
        <v>73.319999999999993</v>
      </c>
      <c r="Q48" s="8">
        <f t="shared" si="28"/>
        <v>1.3082874321994702</v>
      </c>
      <c r="R48" s="7">
        <f>(((R44)+(R45))+(R46))+(R47)</f>
        <v>311.14999999999998</v>
      </c>
      <c r="S48" s="7">
        <f>(((S44)+(S45))+(S46))+(S47)</f>
        <v>237.82999999999998</v>
      </c>
      <c r="T48" s="7">
        <f t="shared" si="29"/>
        <v>73.319999999999993</v>
      </c>
      <c r="U48" s="8">
        <f t="shared" si="30"/>
        <v>1.3082874321994702</v>
      </c>
      <c r="V48" s="7">
        <f>(((V44)+(V45))+(V46))+(V47)</f>
        <v>311.14999999999998</v>
      </c>
      <c r="W48" s="7">
        <f>(((W44)+(W45))+(W46))+(W47)</f>
        <v>237.82999999999998</v>
      </c>
      <c r="X48" s="7">
        <f t="shared" si="31"/>
        <v>73.319999999999993</v>
      </c>
      <c r="Y48" s="8">
        <f t="shared" si="32"/>
        <v>1.3082874321994702</v>
      </c>
      <c r="Z48" s="7">
        <f>(((Z44)+(Z45))+(Z46))+(Z47)</f>
        <v>311.14999999999998</v>
      </c>
      <c r="AA48" s="7">
        <f>(((AA44)+(AA45))+(AA46))+(AA47)</f>
        <v>237.82999999999998</v>
      </c>
      <c r="AB48" s="7">
        <f t="shared" si="33"/>
        <v>73.319999999999993</v>
      </c>
      <c r="AC48" s="8">
        <f t="shared" si="34"/>
        <v>1.3082874321994702</v>
      </c>
      <c r="AD48" s="7">
        <f>(((AD44)+(AD45))+(AD46))+(AD47)</f>
        <v>311.14999999999998</v>
      </c>
      <c r="AE48" s="7">
        <f>(((AE44)+(AE45))+(AE46))+(AE47)</f>
        <v>237.82999999999998</v>
      </c>
      <c r="AF48" s="7">
        <f t="shared" si="35"/>
        <v>73.319999999999993</v>
      </c>
      <c r="AG48" s="8">
        <f t="shared" si="36"/>
        <v>1.3082874321994702</v>
      </c>
      <c r="AH48" s="7">
        <f t="shared" si="37"/>
        <v>2489.2000000000003</v>
      </c>
      <c r="AI48" s="7">
        <f t="shared" si="38"/>
        <v>1902.6399999999996</v>
      </c>
      <c r="AJ48" s="7">
        <f t="shared" si="39"/>
        <v>586.56000000000063</v>
      </c>
      <c r="AK48" s="8">
        <f t="shared" si="40"/>
        <v>1.3082874321994706</v>
      </c>
    </row>
    <row r="49" spans="1:37" x14ac:dyDescent="0.3">
      <c r="A49" s="3" t="s">
        <v>55</v>
      </c>
      <c r="B49" s="4"/>
      <c r="C49" s="4"/>
      <c r="D49" s="5">
        <f t="shared" si="21"/>
        <v>0</v>
      </c>
      <c r="E49" s="6" t="str">
        <f t="shared" si="22"/>
        <v/>
      </c>
      <c r="F49" s="4"/>
      <c r="G49" s="4"/>
      <c r="H49" s="5">
        <f t="shared" si="23"/>
        <v>0</v>
      </c>
      <c r="I49" s="6" t="str">
        <f t="shared" si="24"/>
        <v/>
      </c>
      <c r="J49" s="4"/>
      <c r="K49" s="4"/>
      <c r="L49" s="5">
        <f t="shared" si="25"/>
        <v>0</v>
      </c>
      <c r="M49" s="6" t="str">
        <f t="shared" si="26"/>
        <v/>
      </c>
      <c r="N49" s="4"/>
      <c r="O49" s="4"/>
      <c r="P49" s="5">
        <f t="shared" si="27"/>
        <v>0</v>
      </c>
      <c r="Q49" s="6" t="str">
        <f t="shared" si="28"/>
        <v/>
      </c>
      <c r="R49" s="4"/>
      <c r="S49" s="4"/>
      <c r="T49" s="5">
        <f t="shared" si="29"/>
        <v>0</v>
      </c>
      <c r="U49" s="6" t="str">
        <f t="shared" si="30"/>
        <v/>
      </c>
      <c r="V49" s="4"/>
      <c r="W49" s="4"/>
      <c r="X49" s="5">
        <f t="shared" si="31"/>
        <v>0</v>
      </c>
      <c r="Y49" s="6" t="str">
        <f t="shared" si="32"/>
        <v/>
      </c>
      <c r="Z49" s="4"/>
      <c r="AA49" s="4"/>
      <c r="AB49" s="5">
        <f t="shared" si="33"/>
        <v>0</v>
      </c>
      <c r="AC49" s="6" t="str">
        <f t="shared" si="34"/>
        <v/>
      </c>
      <c r="AD49" s="4"/>
      <c r="AE49" s="4"/>
      <c r="AF49" s="5">
        <f t="shared" si="35"/>
        <v>0</v>
      </c>
      <c r="AG49" s="6" t="str">
        <f t="shared" si="36"/>
        <v/>
      </c>
      <c r="AH49" s="5">
        <f t="shared" si="37"/>
        <v>0</v>
      </c>
      <c r="AI49" s="5">
        <f t="shared" si="38"/>
        <v>0</v>
      </c>
      <c r="AJ49" s="5">
        <f t="shared" si="39"/>
        <v>0</v>
      </c>
      <c r="AK49" s="6" t="str">
        <f t="shared" si="40"/>
        <v/>
      </c>
    </row>
    <row r="50" spans="1:37" x14ac:dyDescent="0.3">
      <c r="A50" s="3" t="s">
        <v>56</v>
      </c>
      <c r="B50" s="5">
        <f>1334.45</f>
        <v>1334.45</v>
      </c>
      <c r="C50" s="5">
        <f>833.73</f>
        <v>833.73</v>
      </c>
      <c r="D50" s="5">
        <f t="shared" si="21"/>
        <v>500.72</v>
      </c>
      <c r="E50" s="6">
        <f t="shared" si="22"/>
        <v>1.6005781248125892</v>
      </c>
      <c r="F50" s="5">
        <f>759.69</f>
        <v>759.69</v>
      </c>
      <c r="G50" s="5">
        <f>833.73</f>
        <v>833.73</v>
      </c>
      <c r="H50" s="5">
        <f t="shared" si="23"/>
        <v>-74.039999999999964</v>
      </c>
      <c r="I50" s="6">
        <f t="shared" si="24"/>
        <v>0.91119427152675336</v>
      </c>
      <c r="J50" s="5">
        <f>2123.23</f>
        <v>2123.23</v>
      </c>
      <c r="K50" s="5">
        <f>833.73</f>
        <v>833.73</v>
      </c>
      <c r="L50" s="5">
        <f t="shared" si="25"/>
        <v>1289.5</v>
      </c>
      <c r="M50" s="6">
        <f t="shared" si="26"/>
        <v>2.5466637880368945</v>
      </c>
      <c r="N50" s="5">
        <f>540.31</f>
        <v>540.30999999999995</v>
      </c>
      <c r="O50" s="5">
        <f>833.73</f>
        <v>833.73</v>
      </c>
      <c r="P50" s="5">
        <f t="shared" si="27"/>
        <v>-293.42000000000007</v>
      </c>
      <c r="Q50" s="6">
        <f t="shared" si="28"/>
        <v>0.64806352176364046</v>
      </c>
      <c r="R50" s="5">
        <f>865.64</f>
        <v>865.64</v>
      </c>
      <c r="S50" s="5">
        <f>833.73</f>
        <v>833.73</v>
      </c>
      <c r="T50" s="5">
        <f t="shared" si="29"/>
        <v>31.909999999999968</v>
      </c>
      <c r="U50" s="6">
        <f t="shared" si="30"/>
        <v>1.0382737816799203</v>
      </c>
      <c r="V50" s="5">
        <f>650</f>
        <v>650</v>
      </c>
      <c r="W50" s="5">
        <f>833.73</f>
        <v>833.73</v>
      </c>
      <c r="X50" s="5">
        <f t="shared" si="31"/>
        <v>-183.73000000000002</v>
      </c>
      <c r="Y50" s="6">
        <f t="shared" si="32"/>
        <v>0.77962889664519686</v>
      </c>
      <c r="Z50" s="5">
        <f>478.89</f>
        <v>478.89</v>
      </c>
      <c r="AA50" s="5">
        <f>833.73</f>
        <v>833.73</v>
      </c>
      <c r="AB50" s="5">
        <f t="shared" si="33"/>
        <v>-354.84000000000003</v>
      </c>
      <c r="AC50" s="6">
        <f t="shared" si="34"/>
        <v>0.57439458817602818</v>
      </c>
      <c r="AD50" s="5">
        <f>529.45</f>
        <v>529.45000000000005</v>
      </c>
      <c r="AE50" s="5">
        <f>833.73</f>
        <v>833.73</v>
      </c>
      <c r="AF50" s="5">
        <f t="shared" si="35"/>
        <v>-304.27999999999997</v>
      </c>
      <c r="AG50" s="6">
        <f t="shared" si="36"/>
        <v>0.63503772204430697</v>
      </c>
      <c r="AH50" s="5">
        <f t="shared" si="37"/>
        <v>7281.6600000000008</v>
      </c>
      <c r="AI50" s="5">
        <f t="shared" si="38"/>
        <v>6669.8399999999983</v>
      </c>
      <c r="AJ50" s="5">
        <f t="shared" si="39"/>
        <v>611.82000000000244</v>
      </c>
      <c r="AK50" s="6">
        <f t="shared" si="40"/>
        <v>1.0917293368356666</v>
      </c>
    </row>
    <row r="51" spans="1:37" x14ac:dyDescent="0.3">
      <c r="A51" s="3" t="s">
        <v>57</v>
      </c>
      <c r="B51" s="5">
        <f>718.55</f>
        <v>718.55</v>
      </c>
      <c r="C51" s="5">
        <f>448.93</f>
        <v>448.93</v>
      </c>
      <c r="D51" s="5">
        <f t="shared" si="21"/>
        <v>269.61999999999995</v>
      </c>
      <c r="E51" s="6">
        <f t="shared" si="22"/>
        <v>1.6005836099169135</v>
      </c>
      <c r="F51" s="5">
        <f>409.06</f>
        <v>409.06</v>
      </c>
      <c r="G51" s="5">
        <f>448.93</f>
        <v>448.93</v>
      </c>
      <c r="H51" s="5">
        <f t="shared" si="23"/>
        <v>-39.870000000000005</v>
      </c>
      <c r="I51" s="6">
        <f t="shared" si="24"/>
        <v>0.91118882676586554</v>
      </c>
      <c r="J51" s="5">
        <f>1143.28</f>
        <v>1143.28</v>
      </c>
      <c r="K51" s="5">
        <f>448.93</f>
        <v>448.93</v>
      </c>
      <c r="L51" s="5">
        <f t="shared" si="25"/>
        <v>694.34999999999991</v>
      </c>
      <c r="M51" s="6">
        <f t="shared" si="26"/>
        <v>2.5466776557592499</v>
      </c>
      <c r="N51" s="5">
        <f>290.94</f>
        <v>290.94</v>
      </c>
      <c r="O51" s="5">
        <f>448.93</f>
        <v>448.93</v>
      </c>
      <c r="P51" s="5">
        <f t="shared" si="27"/>
        <v>-157.99</v>
      </c>
      <c r="Q51" s="6">
        <f t="shared" si="28"/>
        <v>0.64807431002606197</v>
      </c>
      <c r="R51" s="5">
        <f>466.11</f>
        <v>466.11</v>
      </c>
      <c r="S51" s="5">
        <f>448.93</f>
        <v>448.93</v>
      </c>
      <c r="T51" s="5">
        <f t="shared" si="29"/>
        <v>17.180000000000007</v>
      </c>
      <c r="U51" s="6">
        <f t="shared" si="30"/>
        <v>1.0382687724144075</v>
      </c>
      <c r="V51" s="5">
        <f>350</f>
        <v>350</v>
      </c>
      <c r="W51" s="5">
        <f>448.93</f>
        <v>448.93</v>
      </c>
      <c r="X51" s="5">
        <f t="shared" si="31"/>
        <v>-98.93</v>
      </c>
      <c r="Y51" s="6">
        <f t="shared" si="32"/>
        <v>0.7796315683959637</v>
      </c>
      <c r="Z51" s="5">
        <f>257.86</f>
        <v>257.86</v>
      </c>
      <c r="AA51" s="5">
        <f>448.93</f>
        <v>448.93</v>
      </c>
      <c r="AB51" s="5">
        <f t="shared" si="33"/>
        <v>-191.07</v>
      </c>
      <c r="AC51" s="6">
        <f t="shared" si="34"/>
        <v>0.57438798921880918</v>
      </c>
      <c r="AD51" s="5">
        <f>285.1</f>
        <v>285.10000000000002</v>
      </c>
      <c r="AE51" s="5">
        <f>448.93</f>
        <v>448.93</v>
      </c>
      <c r="AF51" s="5">
        <f t="shared" si="35"/>
        <v>-163.82999999999998</v>
      </c>
      <c r="AG51" s="6">
        <f t="shared" si="36"/>
        <v>0.63506560042768367</v>
      </c>
      <c r="AH51" s="5">
        <f t="shared" si="37"/>
        <v>3920.9</v>
      </c>
      <c r="AI51" s="5">
        <f t="shared" si="38"/>
        <v>3591.4399999999996</v>
      </c>
      <c r="AJ51" s="5">
        <f t="shared" si="39"/>
        <v>329.46000000000049</v>
      </c>
      <c r="AK51" s="6">
        <f t="shared" si="40"/>
        <v>1.0917347916156195</v>
      </c>
    </row>
    <row r="52" spans="1:37" x14ac:dyDescent="0.3">
      <c r="A52" s="3" t="s">
        <v>58</v>
      </c>
      <c r="B52" s="5">
        <f>0</f>
        <v>0</v>
      </c>
      <c r="C52" s="4"/>
      <c r="D52" s="5">
        <f t="shared" si="21"/>
        <v>0</v>
      </c>
      <c r="E52" s="6" t="str">
        <f t="shared" si="22"/>
        <v/>
      </c>
      <c r="F52" s="5">
        <f>0</f>
        <v>0</v>
      </c>
      <c r="G52" s="4"/>
      <c r="H52" s="5">
        <f t="shared" si="23"/>
        <v>0</v>
      </c>
      <c r="I52" s="6" t="str">
        <f t="shared" si="24"/>
        <v/>
      </c>
      <c r="J52" s="5">
        <f>-2550</f>
        <v>-2550</v>
      </c>
      <c r="K52" s="4"/>
      <c r="L52" s="5">
        <f t="shared" si="25"/>
        <v>-2550</v>
      </c>
      <c r="M52" s="6" t="str">
        <f t="shared" si="26"/>
        <v/>
      </c>
      <c r="N52" s="5">
        <f>0</f>
        <v>0</v>
      </c>
      <c r="O52" s="4"/>
      <c r="P52" s="5">
        <f t="shared" si="27"/>
        <v>0</v>
      </c>
      <c r="Q52" s="6" t="str">
        <f t="shared" si="28"/>
        <v/>
      </c>
      <c r="R52" s="5">
        <f>0</f>
        <v>0</v>
      </c>
      <c r="S52" s="4"/>
      <c r="T52" s="5">
        <f t="shared" si="29"/>
        <v>0</v>
      </c>
      <c r="U52" s="6" t="str">
        <f t="shared" si="30"/>
        <v/>
      </c>
      <c r="V52" s="5">
        <f>0</f>
        <v>0</v>
      </c>
      <c r="W52" s="4"/>
      <c r="X52" s="5">
        <f t="shared" si="31"/>
        <v>0</v>
      </c>
      <c r="Y52" s="6" t="str">
        <f t="shared" si="32"/>
        <v/>
      </c>
      <c r="Z52" s="5">
        <f>0</f>
        <v>0</v>
      </c>
      <c r="AA52" s="4"/>
      <c r="AB52" s="5">
        <f t="shared" si="33"/>
        <v>0</v>
      </c>
      <c r="AC52" s="6" t="str">
        <f t="shared" si="34"/>
        <v/>
      </c>
      <c r="AD52" s="5">
        <f>0</f>
        <v>0</v>
      </c>
      <c r="AE52" s="4"/>
      <c r="AF52" s="5">
        <f t="shared" si="35"/>
        <v>0</v>
      </c>
      <c r="AG52" s="6" t="str">
        <f t="shared" si="36"/>
        <v/>
      </c>
      <c r="AH52" s="5">
        <f t="shared" si="37"/>
        <v>-2550</v>
      </c>
      <c r="AI52" s="5">
        <f t="shared" si="38"/>
        <v>0</v>
      </c>
      <c r="AJ52" s="5">
        <f t="shared" si="39"/>
        <v>-2550</v>
      </c>
      <c r="AK52" s="6" t="str">
        <f t="shared" si="40"/>
        <v/>
      </c>
    </row>
    <row r="53" spans="1:37" x14ac:dyDescent="0.3">
      <c r="A53" s="3" t="s">
        <v>59</v>
      </c>
      <c r="B53" s="7">
        <f>(((B49)+(B50))+(B51))+(B52)</f>
        <v>2053</v>
      </c>
      <c r="C53" s="7">
        <f>(((C49)+(C50))+(C51))+(C52)</f>
        <v>1282.6600000000001</v>
      </c>
      <c r="D53" s="7">
        <f t="shared" si="21"/>
        <v>770.33999999999992</v>
      </c>
      <c r="E53" s="8">
        <f t="shared" si="22"/>
        <v>1.6005800445948262</v>
      </c>
      <c r="F53" s="7">
        <f>(((F49)+(F50))+(F51))+(F52)</f>
        <v>1168.75</v>
      </c>
      <c r="G53" s="7">
        <f>(((G49)+(G50))+(G51))+(G52)</f>
        <v>1282.6600000000001</v>
      </c>
      <c r="H53" s="7">
        <f t="shared" si="23"/>
        <v>-113.91000000000008</v>
      </c>
      <c r="I53" s="8">
        <f t="shared" si="24"/>
        <v>0.91119236586468744</v>
      </c>
      <c r="J53" s="7">
        <f>(((J49)+(J50))+(J51))+(J52)</f>
        <v>716.51000000000022</v>
      </c>
      <c r="K53" s="7">
        <f>(((K49)+(K50))+(K51))+(K52)</f>
        <v>1282.6600000000001</v>
      </c>
      <c r="L53" s="7">
        <f t="shared" si="25"/>
        <v>-566.14999999999986</v>
      </c>
      <c r="M53" s="8">
        <f t="shared" si="26"/>
        <v>0.55861257075140736</v>
      </c>
      <c r="N53" s="7">
        <f>(((N49)+(N50))+(N51))+(N52)</f>
        <v>831.25</v>
      </c>
      <c r="O53" s="7">
        <f>(((O49)+(O50))+(O51))+(O52)</f>
        <v>1282.6600000000001</v>
      </c>
      <c r="P53" s="7">
        <f t="shared" si="27"/>
        <v>-451.41000000000008</v>
      </c>
      <c r="Q53" s="8">
        <f t="shared" si="28"/>
        <v>0.64806729764707716</v>
      </c>
      <c r="R53" s="7">
        <f>(((R49)+(R50))+(R51))+(R52)</f>
        <v>1331.75</v>
      </c>
      <c r="S53" s="7">
        <f>(((S49)+(S50))+(S51))+(S52)</f>
        <v>1282.6600000000001</v>
      </c>
      <c r="T53" s="7">
        <f t="shared" si="29"/>
        <v>49.089999999999918</v>
      </c>
      <c r="U53" s="8">
        <f t="shared" si="30"/>
        <v>1.0382720284408962</v>
      </c>
      <c r="V53" s="7">
        <f>(((V49)+(V50))+(V51))+(V52)</f>
        <v>1000</v>
      </c>
      <c r="W53" s="7">
        <f>(((W49)+(W50))+(W51))+(W52)</f>
        <v>1282.6600000000001</v>
      </c>
      <c r="X53" s="7">
        <f t="shared" si="31"/>
        <v>-282.66000000000008</v>
      </c>
      <c r="Y53" s="8">
        <f t="shared" si="32"/>
        <v>0.7796298317558823</v>
      </c>
      <c r="Z53" s="7">
        <f>(((Z49)+(Z50))+(Z51))+(Z52)</f>
        <v>736.75</v>
      </c>
      <c r="AA53" s="7">
        <f>(((AA49)+(AA50))+(AA51))+(AA52)</f>
        <v>1282.6600000000001</v>
      </c>
      <c r="AB53" s="7">
        <f t="shared" si="33"/>
        <v>-545.91000000000008</v>
      </c>
      <c r="AC53" s="8">
        <f t="shared" si="34"/>
        <v>0.57439227854614627</v>
      </c>
      <c r="AD53" s="7">
        <f>(((AD49)+(AD50))+(AD51))+(AD52)</f>
        <v>814.55000000000007</v>
      </c>
      <c r="AE53" s="7">
        <f>(((AE49)+(AE50))+(AE51))+(AE52)</f>
        <v>1282.6600000000001</v>
      </c>
      <c r="AF53" s="7">
        <f t="shared" si="35"/>
        <v>-468.11</v>
      </c>
      <c r="AG53" s="8">
        <f t="shared" si="36"/>
        <v>0.63504747945675399</v>
      </c>
      <c r="AH53" s="7">
        <f t="shared" si="37"/>
        <v>8652.56</v>
      </c>
      <c r="AI53" s="7">
        <f t="shared" si="38"/>
        <v>10261.280000000001</v>
      </c>
      <c r="AJ53" s="7">
        <f t="shared" si="39"/>
        <v>-1608.7200000000012</v>
      </c>
      <c r="AK53" s="8">
        <f t="shared" si="40"/>
        <v>0.84322423713220951</v>
      </c>
    </row>
    <row r="54" spans="1:37" x14ac:dyDescent="0.3">
      <c r="A54" s="3" t="s">
        <v>60</v>
      </c>
      <c r="B54" s="4"/>
      <c r="C54" s="4"/>
      <c r="D54" s="5">
        <f t="shared" si="21"/>
        <v>0</v>
      </c>
      <c r="E54" s="6" t="str">
        <f t="shared" si="22"/>
        <v/>
      </c>
      <c r="F54" s="4"/>
      <c r="G54" s="4"/>
      <c r="H54" s="5">
        <f t="shared" si="23"/>
        <v>0</v>
      </c>
      <c r="I54" s="6" t="str">
        <f t="shared" si="24"/>
        <v/>
      </c>
      <c r="J54" s="4"/>
      <c r="K54" s="4"/>
      <c r="L54" s="5">
        <f t="shared" si="25"/>
        <v>0</v>
      </c>
      <c r="M54" s="6" t="str">
        <f t="shared" si="26"/>
        <v/>
      </c>
      <c r="N54" s="4"/>
      <c r="O54" s="4"/>
      <c r="P54" s="5">
        <f t="shared" si="27"/>
        <v>0</v>
      </c>
      <c r="Q54" s="6" t="str">
        <f t="shared" si="28"/>
        <v/>
      </c>
      <c r="R54" s="4"/>
      <c r="S54" s="4"/>
      <c r="T54" s="5">
        <f t="shared" si="29"/>
        <v>0</v>
      </c>
      <c r="U54" s="6" t="str">
        <f t="shared" si="30"/>
        <v/>
      </c>
      <c r="V54" s="4"/>
      <c r="W54" s="4"/>
      <c r="X54" s="5">
        <f t="shared" si="31"/>
        <v>0</v>
      </c>
      <c r="Y54" s="6" t="str">
        <f t="shared" si="32"/>
        <v/>
      </c>
      <c r="Z54" s="4"/>
      <c r="AA54" s="4"/>
      <c r="AB54" s="5">
        <f t="shared" si="33"/>
        <v>0</v>
      </c>
      <c r="AC54" s="6" t="str">
        <f t="shared" si="34"/>
        <v/>
      </c>
      <c r="AD54" s="4"/>
      <c r="AE54" s="4"/>
      <c r="AF54" s="5">
        <f t="shared" si="35"/>
        <v>0</v>
      </c>
      <c r="AG54" s="6" t="str">
        <f t="shared" si="36"/>
        <v/>
      </c>
      <c r="AH54" s="5">
        <f t="shared" si="37"/>
        <v>0</v>
      </c>
      <c r="AI54" s="5">
        <f t="shared" si="38"/>
        <v>0</v>
      </c>
      <c r="AJ54" s="5">
        <f t="shared" si="39"/>
        <v>0</v>
      </c>
      <c r="AK54" s="6" t="str">
        <f t="shared" si="40"/>
        <v/>
      </c>
    </row>
    <row r="55" spans="1:37" x14ac:dyDescent="0.3">
      <c r="A55" s="3" t="s">
        <v>61</v>
      </c>
      <c r="B55" s="5">
        <f>76.28</f>
        <v>76.28</v>
      </c>
      <c r="C55" s="5">
        <f>230.75</f>
        <v>230.75</v>
      </c>
      <c r="D55" s="5">
        <f t="shared" si="21"/>
        <v>-154.47</v>
      </c>
      <c r="E55" s="6">
        <f t="shared" si="22"/>
        <v>0.3305742145178765</v>
      </c>
      <c r="F55" s="5">
        <f>76.28</f>
        <v>76.28</v>
      </c>
      <c r="G55" s="5">
        <f>230.75</f>
        <v>230.75</v>
      </c>
      <c r="H55" s="5">
        <f t="shared" si="23"/>
        <v>-154.47</v>
      </c>
      <c r="I55" s="6">
        <f t="shared" si="24"/>
        <v>0.3305742145178765</v>
      </c>
      <c r="J55" s="5">
        <f>114.43</f>
        <v>114.43</v>
      </c>
      <c r="K55" s="5">
        <f>230.75</f>
        <v>230.75</v>
      </c>
      <c r="L55" s="5">
        <f t="shared" si="25"/>
        <v>-116.32</v>
      </c>
      <c r="M55" s="6">
        <f t="shared" si="26"/>
        <v>0.49590465872156014</v>
      </c>
      <c r="N55" s="5">
        <f>76.28</f>
        <v>76.28</v>
      </c>
      <c r="O55" s="5">
        <f>230.75</f>
        <v>230.75</v>
      </c>
      <c r="P55" s="5">
        <f t="shared" si="27"/>
        <v>-154.47</v>
      </c>
      <c r="Q55" s="6">
        <f t="shared" si="28"/>
        <v>0.3305742145178765</v>
      </c>
      <c r="R55" s="5">
        <f>76.28</f>
        <v>76.28</v>
      </c>
      <c r="S55" s="5">
        <f>230.75</f>
        <v>230.75</v>
      </c>
      <c r="T55" s="5">
        <f t="shared" si="29"/>
        <v>-154.47</v>
      </c>
      <c r="U55" s="6">
        <f t="shared" si="30"/>
        <v>0.3305742145178765</v>
      </c>
      <c r="V55" s="5">
        <f>76.28</f>
        <v>76.28</v>
      </c>
      <c r="W55" s="5">
        <f>230.75</f>
        <v>230.75</v>
      </c>
      <c r="X55" s="5">
        <f t="shared" si="31"/>
        <v>-154.47</v>
      </c>
      <c r="Y55" s="6">
        <f t="shared" si="32"/>
        <v>0.3305742145178765</v>
      </c>
      <c r="Z55" s="5">
        <f>76.28</f>
        <v>76.28</v>
      </c>
      <c r="AA55" s="5">
        <f>230.75</f>
        <v>230.75</v>
      </c>
      <c r="AB55" s="5">
        <f t="shared" si="33"/>
        <v>-154.47</v>
      </c>
      <c r="AC55" s="6">
        <f t="shared" si="34"/>
        <v>0.3305742145178765</v>
      </c>
      <c r="AD55" s="5">
        <f>76.28</f>
        <v>76.28</v>
      </c>
      <c r="AE55" s="5">
        <f>230.75</f>
        <v>230.75</v>
      </c>
      <c r="AF55" s="5">
        <f t="shared" si="35"/>
        <v>-154.47</v>
      </c>
      <c r="AG55" s="6">
        <f t="shared" si="36"/>
        <v>0.3305742145178765</v>
      </c>
      <c r="AH55" s="5">
        <f t="shared" si="37"/>
        <v>648.38999999999987</v>
      </c>
      <c r="AI55" s="5">
        <f t="shared" si="38"/>
        <v>1846</v>
      </c>
      <c r="AJ55" s="5">
        <f t="shared" si="39"/>
        <v>-1197.6100000000001</v>
      </c>
      <c r="AK55" s="6">
        <f t="shared" si="40"/>
        <v>0.35124052004333689</v>
      </c>
    </row>
    <row r="56" spans="1:37" x14ac:dyDescent="0.3">
      <c r="A56" s="3" t="s">
        <v>62</v>
      </c>
      <c r="B56" s="5">
        <f>41.08</f>
        <v>41.08</v>
      </c>
      <c r="C56" s="5">
        <f>124.25</f>
        <v>124.25</v>
      </c>
      <c r="D56" s="5">
        <f t="shared" si="21"/>
        <v>-83.17</v>
      </c>
      <c r="E56" s="6">
        <f t="shared" si="22"/>
        <v>0.33062374245472836</v>
      </c>
      <c r="F56" s="5">
        <f>41.08</f>
        <v>41.08</v>
      </c>
      <c r="G56" s="5">
        <f>124.25</f>
        <v>124.25</v>
      </c>
      <c r="H56" s="5">
        <f t="shared" si="23"/>
        <v>-83.17</v>
      </c>
      <c r="I56" s="6">
        <f t="shared" si="24"/>
        <v>0.33062374245472836</v>
      </c>
      <c r="J56" s="5">
        <f>61.61</f>
        <v>61.61</v>
      </c>
      <c r="K56" s="5">
        <f>124.25</f>
        <v>124.25</v>
      </c>
      <c r="L56" s="5">
        <f t="shared" si="25"/>
        <v>-62.64</v>
      </c>
      <c r="M56" s="6">
        <f t="shared" si="26"/>
        <v>0.49585513078470822</v>
      </c>
      <c r="N56" s="5">
        <f>41.08</f>
        <v>41.08</v>
      </c>
      <c r="O56" s="5">
        <f>124.25</f>
        <v>124.25</v>
      </c>
      <c r="P56" s="5">
        <f t="shared" si="27"/>
        <v>-83.17</v>
      </c>
      <c r="Q56" s="6">
        <f t="shared" si="28"/>
        <v>0.33062374245472836</v>
      </c>
      <c r="R56" s="5">
        <f>41.08</f>
        <v>41.08</v>
      </c>
      <c r="S56" s="5">
        <f>124.25</f>
        <v>124.25</v>
      </c>
      <c r="T56" s="5">
        <f t="shared" si="29"/>
        <v>-83.17</v>
      </c>
      <c r="U56" s="6">
        <f t="shared" si="30"/>
        <v>0.33062374245472836</v>
      </c>
      <c r="V56" s="5">
        <f>41.08</f>
        <v>41.08</v>
      </c>
      <c r="W56" s="5">
        <f>124.25</f>
        <v>124.25</v>
      </c>
      <c r="X56" s="5">
        <f t="shared" si="31"/>
        <v>-83.17</v>
      </c>
      <c r="Y56" s="6">
        <f t="shared" si="32"/>
        <v>0.33062374245472836</v>
      </c>
      <c r="Z56" s="5">
        <f>41.08</f>
        <v>41.08</v>
      </c>
      <c r="AA56" s="5">
        <f>124.25</f>
        <v>124.25</v>
      </c>
      <c r="AB56" s="5">
        <f t="shared" si="33"/>
        <v>-83.17</v>
      </c>
      <c r="AC56" s="6">
        <f t="shared" si="34"/>
        <v>0.33062374245472836</v>
      </c>
      <c r="AD56" s="5">
        <f>41.08</f>
        <v>41.08</v>
      </c>
      <c r="AE56" s="5">
        <f>124.25</f>
        <v>124.25</v>
      </c>
      <c r="AF56" s="5">
        <f t="shared" si="35"/>
        <v>-83.17</v>
      </c>
      <c r="AG56" s="6">
        <f t="shared" si="36"/>
        <v>0.33062374245472836</v>
      </c>
      <c r="AH56" s="5">
        <f t="shared" si="37"/>
        <v>349.1699999999999</v>
      </c>
      <c r="AI56" s="5">
        <f t="shared" si="38"/>
        <v>994</v>
      </c>
      <c r="AJ56" s="5">
        <f t="shared" si="39"/>
        <v>-644.83000000000015</v>
      </c>
      <c r="AK56" s="6">
        <f t="shared" si="40"/>
        <v>0.35127766599597576</v>
      </c>
    </row>
    <row r="57" spans="1:37" x14ac:dyDescent="0.3">
      <c r="A57" s="3" t="s">
        <v>63</v>
      </c>
      <c r="B57" s="5">
        <f>0</f>
        <v>0</v>
      </c>
      <c r="C57" s="4"/>
      <c r="D57" s="5">
        <f t="shared" si="21"/>
        <v>0</v>
      </c>
      <c r="E57" s="6" t="str">
        <f t="shared" si="22"/>
        <v/>
      </c>
      <c r="F57" s="5">
        <f>0</f>
        <v>0</v>
      </c>
      <c r="G57" s="4"/>
      <c r="H57" s="5">
        <f t="shared" si="23"/>
        <v>0</v>
      </c>
      <c r="I57" s="6" t="str">
        <f t="shared" si="24"/>
        <v/>
      </c>
      <c r="J57" s="5">
        <f>0</f>
        <v>0</v>
      </c>
      <c r="K57" s="4"/>
      <c r="L57" s="5">
        <f t="shared" si="25"/>
        <v>0</v>
      </c>
      <c r="M57" s="6" t="str">
        <f t="shared" si="26"/>
        <v/>
      </c>
      <c r="N57" s="5">
        <f>0</f>
        <v>0</v>
      </c>
      <c r="O57" s="4"/>
      <c r="P57" s="5">
        <f t="shared" si="27"/>
        <v>0</v>
      </c>
      <c r="Q57" s="6" t="str">
        <f t="shared" si="28"/>
        <v/>
      </c>
      <c r="R57" s="5">
        <f>0</f>
        <v>0</v>
      </c>
      <c r="S57" s="4"/>
      <c r="T57" s="5">
        <f t="shared" si="29"/>
        <v>0</v>
      </c>
      <c r="U57" s="6" t="str">
        <f t="shared" si="30"/>
        <v/>
      </c>
      <c r="V57" s="5">
        <f>0</f>
        <v>0</v>
      </c>
      <c r="W57" s="4"/>
      <c r="X57" s="5">
        <f t="shared" si="31"/>
        <v>0</v>
      </c>
      <c r="Y57" s="6" t="str">
        <f t="shared" si="32"/>
        <v/>
      </c>
      <c r="Z57" s="5">
        <f>0</f>
        <v>0</v>
      </c>
      <c r="AA57" s="4"/>
      <c r="AB57" s="5">
        <f t="shared" si="33"/>
        <v>0</v>
      </c>
      <c r="AC57" s="6" t="str">
        <f t="shared" si="34"/>
        <v/>
      </c>
      <c r="AD57" s="5">
        <f>0</f>
        <v>0</v>
      </c>
      <c r="AE57" s="4"/>
      <c r="AF57" s="5">
        <f t="shared" si="35"/>
        <v>0</v>
      </c>
      <c r="AG57" s="6" t="str">
        <f t="shared" si="36"/>
        <v/>
      </c>
      <c r="AH57" s="5">
        <f t="shared" si="37"/>
        <v>0</v>
      </c>
      <c r="AI57" s="5">
        <f t="shared" si="38"/>
        <v>0</v>
      </c>
      <c r="AJ57" s="5">
        <f t="shared" si="39"/>
        <v>0</v>
      </c>
      <c r="AK57" s="6" t="str">
        <f t="shared" si="40"/>
        <v/>
      </c>
    </row>
    <row r="58" spans="1:37" x14ac:dyDescent="0.3">
      <c r="A58" s="3" t="s">
        <v>64</v>
      </c>
      <c r="B58" s="7">
        <f>(((B54)+(B55))+(B56))+(B57)</f>
        <v>117.36</v>
      </c>
      <c r="C58" s="7">
        <f>(((C54)+(C55))+(C56))+(C57)</f>
        <v>355</v>
      </c>
      <c r="D58" s="7">
        <f t="shared" si="21"/>
        <v>-237.64</v>
      </c>
      <c r="E58" s="8">
        <f t="shared" si="22"/>
        <v>0.33059154929577467</v>
      </c>
      <c r="F58" s="7">
        <f>(((F54)+(F55))+(F56))+(F57)</f>
        <v>117.36</v>
      </c>
      <c r="G58" s="7">
        <f>(((G54)+(G55))+(G56))+(G57)</f>
        <v>355</v>
      </c>
      <c r="H58" s="7">
        <f t="shared" si="23"/>
        <v>-237.64</v>
      </c>
      <c r="I58" s="8">
        <f t="shared" si="24"/>
        <v>0.33059154929577467</v>
      </c>
      <c r="J58" s="7">
        <f>(((J54)+(J55))+(J56))+(J57)</f>
        <v>176.04000000000002</v>
      </c>
      <c r="K58" s="7">
        <f>(((K54)+(K55))+(K56))+(K57)</f>
        <v>355</v>
      </c>
      <c r="L58" s="7">
        <f t="shared" si="25"/>
        <v>-178.95999999999998</v>
      </c>
      <c r="M58" s="8">
        <f t="shared" si="26"/>
        <v>0.49588732394366203</v>
      </c>
      <c r="N58" s="7">
        <f>(((N54)+(N55))+(N56))+(N57)</f>
        <v>117.36</v>
      </c>
      <c r="O58" s="7">
        <f>(((O54)+(O55))+(O56))+(O57)</f>
        <v>355</v>
      </c>
      <c r="P58" s="7">
        <f t="shared" si="27"/>
        <v>-237.64</v>
      </c>
      <c r="Q58" s="8">
        <f t="shared" si="28"/>
        <v>0.33059154929577467</v>
      </c>
      <c r="R58" s="7">
        <f>(((R54)+(R55))+(R56))+(R57)</f>
        <v>117.36</v>
      </c>
      <c r="S58" s="7">
        <f>(((S54)+(S55))+(S56))+(S57)</f>
        <v>355</v>
      </c>
      <c r="T58" s="7">
        <f t="shared" si="29"/>
        <v>-237.64</v>
      </c>
      <c r="U58" s="8">
        <f t="shared" si="30"/>
        <v>0.33059154929577467</v>
      </c>
      <c r="V58" s="7">
        <f>(((V54)+(V55))+(V56))+(V57)</f>
        <v>117.36</v>
      </c>
      <c r="W58" s="7">
        <f>(((W54)+(W55))+(W56))+(W57)</f>
        <v>355</v>
      </c>
      <c r="X58" s="7">
        <f t="shared" si="31"/>
        <v>-237.64</v>
      </c>
      <c r="Y58" s="8">
        <f t="shared" si="32"/>
        <v>0.33059154929577467</v>
      </c>
      <c r="Z58" s="7">
        <f>(((Z54)+(Z55))+(Z56))+(Z57)</f>
        <v>117.36</v>
      </c>
      <c r="AA58" s="7">
        <f>(((AA54)+(AA55))+(AA56))+(AA57)</f>
        <v>355</v>
      </c>
      <c r="AB58" s="7">
        <f t="shared" si="33"/>
        <v>-237.64</v>
      </c>
      <c r="AC58" s="8">
        <f t="shared" si="34"/>
        <v>0.33059154929577467</v>
      </c>
      <c r="AD58" s="7">
        <f>(((AD54)+(AD55))+(AD56))+(AD57)</f>
        <v>117.36</v>
      </c>
      <c r="AE58" s="7">
        <f>(((AE54)+(AE55))+(AE56))+(AE57)</f>
        <v>355</v>
      </c>
      <c r="AF58" s="7">
        <f t="shared" si="35"/>
        <v>-237.64</v>
      </c>
      <c r="AG58" s="8">
        <f t="shared" si="36"/>
        <v>0.33059154929577467</v>
      </c>
      <c r="AH58" s="7">
        <f t="shared" si="37"/>
        <v>997.56000000000006</v>
      </c>
      <c r="AI58" s="7">
        <f t="shared" si="38"/>
        <v>2840</v>
      </c>
      <c r="AJ58" s="7">
        <f t="shared" si="39"/>
        <v>-1842.44</v>
      </c>
      <c r="AK58" s="8">
        <f t="shared" si="40"/>
        <v>0.35125352112676056</v>
      </c>
    </row>
    <row r="59" spans="1:37" x14ac:dyDescent="0.3">
      <c r="A59" s="3" t="s">
        <v>65</v>
      </c>
      <c r="B59" s="4"/>
      <c r="C59" s="4"/>
      <c r="D59" s="5">
        <f t="shared" si="21"/>
        <v>0</v>
      </c>
      <c r="E59" s="6" t="str">
        <f t="shared" si="22"/>
        <v/>
      </c>
      <c r="F59" s="4"/>
      <c r="G59" s="4"/>
      <c r="H59" s="5">
        <f t="shared" si="23"/>
        <v>0</v>
      </c>
      <c r="I59" s="6" t="str">
        <f t="shared" si="24"/>
        <v/>
      </c>
      <c r="J59" s="4"/>
      <c r="K59" s="4"/>
      <c r="L59" s="5">
        <f t="shared" si="25"/>
        <v>0</v>
      </c>
      <c r="M59" s="6" t="str">
        <f t="shared" si="26"/>
        <v/>
      </c>
      <c r="N59" s="4"/>
      <c r="O59" s="4"/>
      <c r="P59" s="5">
        <f t="shared" si="27"/>
        <v>0</v>
      </c>
      <c r="Q59" s="6" t="str">
        <f t="shared" si="28"/>
        <v/>
      </c>
      <c r="R59" s="4"/>
      <c r="S59" s="4"/>
      <c r="T59" s="5">
        <f t="shared" si="29"/>
        <v>0</v>
      </c>
      <c r="U59" s="6" t="str">
        <f t="shared" si="30"/>
        <v/>
      </c>
      <c r="V59" s="4"/>
      <c r="W59" s="4"/>
      <c r="X59" s="5">
        <f t="shared" si="31"/>
        <v>0</v>
      </c>
      <c r="Y59" s="6" t="str">
        <f t="shared" si="32"/>
        <v/>
      </c>
      <c r="Z59" s="4"/>
      <c r="AA59" s="4"/>
      <c r="AB59" s="5">
        <f t="shared" si="33"/>
        <v>0</v>
      </c>
      <c r="AC59" s="6" t="str">
        <f t="shared" si="34"/>
        <v/>
      </c>
      <c r="AD59" s="4"/>
      <c r="AE59" s="4"/>
      <c r="AF59" s="5">
        <f t="shared" si="35"/>
        <v>0</v>
      </c>
      <c r="AG59" s="6" t="str">
        <f t="shared" si="36"/>
        <v/>
      </c>
      <c r="AH59" s="5">
        <f t="shared" si="37"/>
        <v>0</v>
      </c>
      <c r="AI59" s="5">
        <f t="shared" si="38"/>
        <v>0</v>
      </c>
      <c r="AJ59" s="5">
        <f t="shared" si="39"/>
        <v>0</v>
      </c>
      <c r="AK59" s="6" t="str">
        <f t="shared" si="40"/>
        <v/>
      </c>
    </row>
    <row r="60" spans="1:37" x14ac:dyDescent="0.3">
      <c r="A60" s="3" t="s">
        <v>66</v>
      </c>
      <c r="B60" s="5">
        <f>581.1</f>
        <v>581.1</v>
      </c>
      <c r="C60" s="5">
        <f>507</f>
        <v>507</v>
      </c>
      <c r="D60" s="5">
        <f t="shared" si="21"/>
        <v>74.100000000000023</v>
      </c>
      <c r="E60" s="6">
        <f t="shared" si="22"/>
        <v>1.1461538461538463</v>
      </c>
      <c r="F60" s="5">
        <f>581.1</f>
        <v>581.1</v>
      </c>
      <c r="G60" s="5">
        <f>507</f>
        <v>507</v>
      </c>
      <c r="H60" s="5">
        <f t="shared" si="23"/>
        <v>74.100000000000023</v>
      </c>
      <c r="I60" s="6">
        <f t="shared" si="24"/>
        <v>1.1461538461538463</v>
      </c>
      <c r="J60" s="5">
        <f>581.1</f>
        <v>581.1</v>
      </c>
      <c r="K60" s="5">
        <f>507</f>
        <v>507</v>
      </c>
      <c r="L60" s="5">
        <f t="shared" si="25"/>
        <v>74.100000000000023</v>
      </c>
      <c r="M60" s="6">
        <f t="shared" si="26"/>
        <v>1.1461538461538463</v>
      </c>
      <c r="N60" s="5">
        <f>581.1</f>
        <v>581.1</v>
      </c>
      <c r="O60" s="5">
        <f>507</f>
        <v>507</v>
      </c>
      <c r="P60" s="5">
        <f t="shared" si="27"/>
        <v>74.100000000000023</v>
      </c>
      <c r="Q60" s="6">
        <f t="shared" si="28"/>
        <v>1.1461538461538463</v>
      </c>
      <c r="R60" s="5">
        <f>581.1</f>
        <v>581.1</v>
      </c>
      <c r="S60" s="5">
        <f>507</f>
        <v>507</v>
      </c>
      <c r="T60" s="5">
        <f t="shared" si="29"/>
        <v>74.100000000000023</v>
      </c>
      <c r="U60" s="6">
        <f t="shared" si="30"/>
        <v>1.1461538461538463</v>
      </c>
      <c r="V60" s="5">
        <f>581.1</f>
        <v>581.1</v>
      </c>
      <c r="W60" s="5">
        <f>507</f>
        <v>507</v>
      </c>
      <c r="X60" s="5">
        <f t="shared" si="31"/>
        <v>74.100000000000023</v>
      </c>
      <c r="Y60" s="6">
        <f t="shared" si="32"/>
        <v>1.1461538461538463</v>
      </c>
      <c r="Z60" s="5">
        <f>581.1</f>
        <v>581.1</v>
      </c>
      <c r="AA60" s="5">
        <f>507</f>
        <v>507</v>
      </c>
      <c r="AB60" s="5">
        <f t="shared" si="33"/>
        <v>74.100000000000023</v>
      </c>
      <c r="AC60" s="6">
        <f t="shared" si="34"/>
        <v>1.1461538461538463</v>
      </c>
      <c r="AD60" s="5">
        <f>681.2</f>
        <v>681.2</v>
      </c>
      <c r="AE60" s="5">
        <f>507</f>
        <v>507</v>
      </c>
      <c r="AF60" s="5">
        <f t="shared" si="35"/>
        <v>174.20000000000005</v>
      </c>
      <c r="AG60" s="6">
        <f t="shared" si="36"/>
        <v>1.3435897435897437</v>
      </c>
      <c r="AH60" s="5">
        <f t="shared" si="37"/>
        <v>4748.8999999999996</v>
      </c>
      <c r="AI60" s="5">
        <f t="shared" si="38"/>
        <v>4056</v>
      </c>
      <c r="AJ60" s="5">
        <f t="shared" si="39"/>
        <v>692.89999999999964</v>
      </c>
      <c r="AK60" s="6">
        <f t="shared" si="40"/>
        <v>1.1708333333333332</v>
      </c>
    </row>
    <row r="61" spans="1:37" x14ac:dyDescent="0.3">
      <c r="A61" s="3" t="s">
        <v>67</v>
      </c>
      <c r="B61" s="5">
        <f>312.9</f>
        <v>312.89999999999998</v>
      </c>
      <c r="C61" s="5">
        <f>273</f>
        <v>273</v>
      </c>
      <c r="D61" s="5">
        <f t="shared" si="21"/>
        <v>39.899999999999977</v>
      </c>
      <c r="E61" s="6">
        <f t="shared" si="22"/>
        <v>1.1461538461538461</v>
      </c>
      <c r="F61" s="5">
        <f>312.9</f>
        <v>312.89999999999998</v>
      </c>
      <c r="G61" s="5">
        <f>273</f>
        <v>273</v>
      </c>
      <c r="H61" s="5">
        <f t="shared" si="23"/>
        <v>39.899999999999977</v>
      </c>
      <c r="I61" s="6">
        <f t="shared" si="24"/>
        <v>1.1461538461538461</v>
      </c>
      <c r="J61" s="5">
        <f>312.9</f>
        <v>312.89999999999998</v>
      </c>
      <c r="K61" s="5">
        <f>273</f>
        <v>273</v>
      </c>
      <c r="L61" s="5">
        <f t="shared" si="25"/>
        <v>39.899999999999977</v>
      </c>
      <c r="M61" s="6">
        <f t="shared" si="26"/>
        <v>1.1461538461538461</v>
      </c>
      <c r="N61" s="5">
        <f>312.9</f>
        <v>312.89999999999998</v>
      </c>
      <c r="O61" s="5">
        <f>273</f>
        <v>273</v>
      </c>
      <c r="P61" s="5">
        <f t="shared" si="27"/>
        <v>39.899999999999977</v>
      </c>
      <c r="Q61" s="6">
        <f t="shared" si="28"/>
        <v>1.1461538461538461</v>
      </c>
      <c r="R61" s="5">
        <f>312.9</f>
        <v>312.89999999999998</v>
      </c>
      <c r="S61" s="5">
        <f>273</f>
        <v>273</v>
      </c>
      <c r="T61" s="5">
        <f t="shared" si="29"/>
        <v>39.899999999999977</v>
      </c>
      <c r="U61" s="6">
        <f t="shared" si="30"/>
        <v>1.1461538461538461</v>
      </c>
      <c r="V61" s="5">
        <f>312.9</f>
        <v>312.89999999999998</v>
      </c>
      <c r="W61" s="5">
        <f>273</f>
        <v>273</v>
      </c>
      <c r="X61" s="5">
        <f t="shared" si="31"/>
        <v>39.899999999999977</v>
      </c>
      <c r="Y61" s="6">
        <f t="shared" si="32"/>
        <v>1.1461538461538461</v>
      </c>
      <c r="Z61" s="5">
        <f>312.9</f>
        <v>312.89999999999998</v>
      </c>
      <c r="AA61" s="5">
        <f>273</f>
        <v>273</v>
      </c>
      <c r="AB61" s="5">
        <f t="shared" si="33"/>
        <v>39.899999999999977</v>
      </c>
      <c r="AC61" s="6">
        <f t="shared" si="34"/>
        <v>1.1461538461538461</v>
      </c>
      <c r="AD61" s="5">
        <f>366.8</f>
        <v>366.8</v>
      </c>
      <c r="AE61" s="5">
        <f>273</f>
        <v>273</v>
      </c>
      <c r="AF61" s="5">
        <f t="shared" si="35"/>
        <v>93.800000000000011</v>
      </c>
      <c r="AG61" s="6">
        <f t="shared" si="36"/>
        <v>1.3435897435897437</v>
      </c>
      <c r="AH61" s="5">
        <f t="shared" si="37"/>
        <v>2557.1000000000004</v>
      </c>
      <c r="AI61" s="5">
        <f t="shared" si="38"/>
        <v>2184</v>
      </c>
      <c r="AJ61" s="5">
        <f t="shared" si="39"/>
        <v>373.10000000000036</v>
      </c>
      <c r="AK61" s="6">
        <f t="shared" si="40"/>
        <v>1.1708333333333334</v>
      </c>
    </row>
    <row r="62" spans="1:37" x14ac:dyDescent="0.3">
      <c r="A62" s="3" t="s">
        <v>68</v>
      </c>
      <c r="B62" s="5">
        <f>0</f>
        <v>0</v>
      </c>
      <c r="C62" s="4"/>
      <c r="D62" s="5">
        <f t="shared" si="21"/>
        <v>0</v>
      </c>
      <c r="E62" s="6" t="str">
        <f t="shared" si="22"/>
        <v/>
      </c>
      <c r="F62" s="5">
        <f>0</f>
        <v>0</v>
      </c>
      <c r="G62" s="4"/>
      <c r="H62" s="5">
        <f t="shared" si="23"/>
        <v>0</v>
      </c>
      <c r="I62" s="6" t="str">
        <f t="shared" si="24"/>
        <v/>
      </c>
      <c r="J62" s="5">
        <f>0</f>
        <v>0</v>
      </c>
      <c r="K62" s="4"/>
      <c r="L62" s="5">
        <f t="shared" si="25"/>
        <v>0</v>
      </c>
      <c r="M62" s="6" t="str">
        <f t="shared" si="26"/>
        <v/>
      </c>
      <c r="N62" s="5">
        <f>0</f>
        <v>0</v>
      </c>
      <c r="O62" s="4"/>
      <c r="P62" s="5">
        <f t="shared" si="27"/>
        <v>0</v>
      </c>
      <c r="Q62" s="6" t="str">
        <f t="shared" si="28"/>
        <v/>
      </c>
      <c r="R62" s="5">
        <f>0</f>
        <v>0</v>
      </c>
      <c r="S62" s="4"/>
      <c r="T62" s="5">
        <f t="shared" si="29"/>
        <v>0</v>
      </c>
      <c r="U62" s="6" t="str">
        <f t="shared" si="30"/>
        <v/>
      </c>
      <c r="V62" s="5">
        <f>0</f>
        <v>0</v>
      </c>
      <c r="W62" s="4"/>
      <c r="X62" s="5">
        <f t="shared" si="31"/>
        <v>0</v>
      </c>
      <c r="Y62" s="6" t="str">
        <f t="shared" si="32"/>
        <v/>
      </c>
      <c r="Z62" s="5">
        <f>0</f>
        <v>0</v>
      </c>
      <c r="AA62" s="4"/>
      <c r="AB62" s="5">
        <f t="shared" si="33"/>
        <v>0</v>
      </c>
      <c r="AC62" s="6" t="str">
        <f t="shared" si="34"/>
        <v/>
      </c>
      <c r="AD62" s="5">
        <f>0</f>
        <v>0</v>
      </c>
      <c r="AE62" s="4"/>
      <c r="AF62" s="5">
        <f t="shared" si="35"/>
        <v>0</v>
      </c>
      <c r="AG62" s="6" t="str">
        <f t="shared" si="36"/>
        <v/>
      </c>
      <c r="AH62" s="5">
        <f t="shared" si="37"/>
        <v>0</v>
      </c>
      <c r="AI62" s="5">
        <f t="shared" si="38"/>
        <v>0</v>
      </c>
      <c r="AJ62" s="5">
        <f t="shared" si="39"/>
        <v>0</v>
      </c>
      <c r="AK62" s="6" t="str">
        <f t="shared" si="40"/>
        <v/>
      </c>
    </row>
    <row r="63" spans="1:37" x14ac:dyDescent="0.3">
      <c r="A63" s="3" t="s">
        <v>69</v>
      </c>
      <c r="B63" s="7">
        <f>(((B59)+(B60))+(B61))+(B62)</f>
        <v>894</v>
      </c>
      <c r="C63" s="7">
        <f>(((C59)+(C60))+(C61))+(C62)</f>
        <v>780</v>
      </c>
      <c r="D63" s="7">
        <f t="shared" si="21"/>
        <v>114</v>
      </c>
      <c r="E63" s="8">
        <f t="shared" si="22"/>
        <v>1.1461538461538461</v>
      </c>
      <c r="F63" s="7">
        <f>(((F59)+(F60))+(F61))+(F62)</f>
        <v>894</v>
      </c>
      <c r="G63" s="7">
        <f>(((G59)+(G60))+(G61))+(G62)</f>
        <v>780</v>
      </c>
      <c r="H63" s="7">
        <f t="shared" si="23"/>
        <v>114</v>
      </c>
      <c r="I63" s="8">
        <f t="shared" si="24"/>
        <v>1.1461538461538461</v>
      </c>
      <c r="J63" s="7">
        <f>(((J59)+(J60))+(J61))+(J62)</f>
        <v>894</v>
      </c>
      <c r="K63" s="7">
        <f>(((K59)+(K60))+(K61))+(K62)</f>
        <v>780</v>
      </c>
      <c r="L63" s="7">
        <f t="shared" si="25"/>
        <v>114</v>
      </c>
      <c r="M63" s="8">
        <f t="shared" si="26"/>
        <v>1.1461538461538461</v>
      </c>
      <c r="N63" s="7">
        <f>(((N59)+(N60))+(N61))+(N62)</f>
        <v>894</v>
      </c>
      <c r="O63" s="7">
        <f>(((O59)+(O60))+(O61))+(O62)</f>
        <v>780</v>
      </c>
      <c r="P63" s="7">
        <f t="shared" si="27"/>
        <v>114</v>
      </c>
      <c r="Q63" s="8">
        <f t="shared" si="28"/>
        <v>1.1461538461538461</v>
      </c>
      <c r="R63" s="7">
        <f>(((R59)+(R60))+(R61))+(R62)</f>
        <v>894</v>
      </c>
      <c r="S63" s="7">
        <f>(((S59)+(S60))+(S61))+(S62)</f>
        <v>780</v>
      </c>
      <c r="T63" s="7">
        <f t="shared" si="29"/>
        <v>114</v>
      </c>
      <c r="U63" s="8">
        <f t="shared" si="30"/>
        <v>1.1461538461538461</v>
      </c>
      <c r="V63" s="7">
        <f>(((V59)+(V60))+(V61))+(V62)</f>
        <v>894</v>
      </c>
      <c r="W63" s="7">
        <f>(((W59)+(W60))+(W61))+(W62)</f>
        <v>780</v>
      </c>
      <c r="X63" s="7">
        <f t="shared" si="31"/>
        <v>114</v>
      </c>
      <c r="Y63" s="8">
        <f t="shared" si="32"/>
        <v>1.1461538461538461</v>
      </c>
      <c r="Z63" s="7">
        <f>(((Z59)+(Z60))+(Z61))+(Z62)</f>
        <v>894</v>
      </c>
      <c r="AA63" s="7">
        <f>(((AA59)+(AA60))+(AA61))+(AA62)</f>
        <v>780</v>
      </c>
      <c r="AB63" s="7">
        <f t="shared" si="33"/>
        <v>114</v>
      </c>
      <c r="AC63" s="8">
        <f t="shared" si="34"/>
        <v>1.1461538461538461</v>
      </c>
      <c r="AD63" s="7">
        <f>(((AD59)+(AD60))+(AD61))+(AD62)</f>
        <v>1048</v>
      </c>
      <c r="AE63" s="7">
        <f>(((AE59)+(AE60))+(AE61))+(AE62)</f>
        <v>780</v>
      </c>
      <c r="AF63" s="7">
        <f t="shared" si="35"/>
        <v>268</v>
      </c>
      <c r="AG63" s="8">
        <f t="shared" si="36"/>
        <v>1.3435897435897435</v>
      </c>
      <c r="AH63" s="7">
        <f t="shared" si="37"/>
        <v>7306</v>
      </c>
      <c r="AI63" s="7">
        <f t="shared" si="38"/>
        <v>6240</v>
      </c>
      <c r="AJ63" s="7">
        <f t="shared" si="39"/>
        <v>1066</v>
      </c>
      <c r="AK63" s="8">
        <f t="shared" si="40"/>
        <v>1.1708333333333334</v>
      </c>
    </row>
    <row r="64" spans="1:37" x14ac:dyDescent="0.3">
      <c r="A64" s="3" t="s">
        <v>70</v>
      </c>
      <c r="B64" s="4"/>
      <c r="C64" s="4"/>
      <c r="D64" s="5">
        <f t="shared" si="21"/>
        <v>0</v>
      </c>
      <c r="E64" s="6" t="str">
        <f t="shared" si="22"/>
        <v/>
      </c>
      <c r="F64" s="4"/>
      <c r="G64" s="4"/>
      <c r="H64" s="5">
        <f t="shared" si="23"/>
        <v>0</v>
      </c>
      <c r="I64" s="6" t="str">
        <f t="shared" si="24"/>
        <v/>
      </c>
      <c r="J64" s="4"/>
      <c r="K64" s="4"/>
      <c r="L64" s="5">
        <f t="shared" si="25"/>
        <v>0</v>
      </c>
      <c r="M64" s="6" t="str">
        <f t="shared" si="26"/>
        <v/>
      </c>
      <c r="N64" s="4"/>
      <c r="O64" s="4"/>
      <c r="P64" s="5">
        <f t="shared" si="27"/>
        <v>0</v>
      </c>
      <c r="Q64" s="6" t="str">
        <f t="shared" si="28"/>
        <v/>
      </c>
      <c r="R64" s="4"/>
      <c r="S64" s="4"/>
      <c r="T64" s="5">
        <f t="shared" si="29"/>
        <v>0</v>
      </c>
      <c r="U64" s="6" t="str">
        <f t="shared" si="30"/>
        <v/>
      </c>
      <c r="V64" s="4"/>
      <c r="W64" s="4"/>
      <c r="X64" s="5">
        <f t="shared" si="31"/>
        <v>0</v>
      </c>
      <c r="Y64" s="6" t="str">
        <f t="shared" si="32"/>
        <v/>
      </c>
      <c r="Z64" s="4"/>
      <c r="AA64" s="4"/>
      <c r="AB64" s="5">
        <f t="shared" si="33"/>
        <v>0</v>
      </c>
      <c r="AC64" s="6" t="str">
        <f t="shared" si="34"/>
        <v/>
      </c>
      <c r="AD64" s="4"/>
      <c r="AE64" s="4"/>
      <c r="AF64" s="5">
        <f t="shared" si="35"/>
        <v>0</v>
      </c>
      <c r="AG64" s="6" t="str">
        <f t="shared" si="36"/>
        <v/>
      </c>
      <c r="AH64" s="5">
        <f t="shared" si="37"/>
        <v>0</v>
      </c>
      <c r="AI64" s="5">
        <f t="shared" si="38"/>
        <v>0</v>
      </c>
      <c r="AJ64" s="5">
        <f t="shared" si="39"/>
        <v>0</v>
      </c>
      <c r="AK64" s="6" t="str">
        <f t="shared" si="40"/>
        <v/>
      </c>
    </row>
    <row r="65" spans="1:37" x14ac:dyDescent="0.3">
      <c r="A65" s="3" t="s">
        <v>71</v>
      </c>
      <c r="B65" s="5">
        <f>706.98</f>
        <v>706.98</v>
      </c>
      <c r="C65" s="5">
        <f>498.33</f>
        <v>498.33</v>
      </c>
      <c r="D65" s="5">
        <f t="shared" si="21"/>
        <v>208.65000000000003</v>
      </c>
      <c r="E65" s="6">
        <f t="shared" si="22"/>
        <v>1.4186984528324604</v>
      </c>
      <c r="F65" s="5">
        <f>417.42</f>
        <v>417.42</v>
      </c>
      <c r="G65" s="5">
        <f>498.33</f>
        <v>498.33</v>
      </c>
      <c r="H65" s="5">
        <f t="shared" si="23"/>
        <v>-80.909999999999968</v>
      </c>
      <c r="I65" s="6">
        <f t="shared" si="24"/>
        <v>0.83763770995123721</v>
      </c>
      <c r="J65" s="5">
        <f>442.62</f>
        <v>442.62</v>
      </c>
      <c r="K65" s="5">
        <f>498.33</f>
        <v>498.33</v>
      </c>
      <c r="L65" s="5">
        <f t="shared" si="25"/>
        <v>-55.70999999999998</v>
      </c>
      <c r="M65" s="6">
        <f t="shared" si="26"/>
        <v>0.88820661007765944</v>
      </c>
      <c r="N65" s="5">
        <f>440.3</f>
        <v>440.3</v>
      </c>
      <c r="O65" s="5">
        <f>498.33</f>
        <v>498.33</v>
      </c>
      <c r="P65" s="5">
        <f t="shared" si="27"/>
        <v>-58.029999999999973</v>
      </c>
      <c r="Q65" s="6">
        <f t="shared" si="28"/>
        <v>0.883551060542211</v>
      </c>
      <c r="R65" s="5">
        <f>571.23</f>
        <v>571.23</v>
      </c>
      <c r="S65" s="5">
        <f>498.33</f>
        <v>498.33</v>
      </c>
      <c r="T65" s="5">
        <f t="shared" si="29"/>
        <v>72.900000000000034</v>
      </c>
      <c r="U65" s="6">
        <f t="shared" si="30"/>
        <v>1.1462886039371503</v>
      </c>
      <c r="V65" s="5">
        <f>518.35</f>
        <v>518.35</v>
      </c>
      <c r="W65" s="5">
        <f>498.33</f>
        <v>498.33</v>
      </c>
      <c r="X65" s="5">
        <f t="shared" si="31"/>
        <v>20.020000000000039</v>
      </c>
      <c r="Y65" s="6">
        <f t="shared" si="32"/>
        <v>1.0401741817671022</v>
      </c>
      <c r="Z65" s="5">
        <f>484.06</f>
        <v>484.06</v>
      </c>
      <c r="AA65" s="5">
        <f>498.33</f>
        <v>498.33</v>
      </c>
      <c r="AB65" s="5">
        <f t="shared" si="33"/>
        <v>-14.269999999999982</v>
      </c>
      <c r="AC65" s="6">
        <f t="shared" si="34"/>
        <v>0.97136435695222045</v>
      </c>
      <c r="AD65" s="5">
        <f>769.39</f>
        <v>769.39</v>
      </c>
      <c r="AE65" s="5">
        <f>498.33</f>
        <v>498.33</v>
      </c>
      <c r="AF65" s="5">
        <f t="shared" si="35"/>
        <v>271.06</v>
      </c>
      <c r="AG65" s="6">
        <f t="shared" si="36"/>
        <v>1.5439367487407942</v>
      </c>
      <c r="AH65" s="5">
        <f t="shared" si="37"/>
        <v>4350.3500000000004</v>
      </c>
      <c r="AI65" s="5">
        <f t="shared" si="38"/>
        <v>3986.64</v>
      </c>
      <c r="AJ65" s="5">
        <f t="shared" si="39"/>
        <v>363.71000000000049</v>
      </c>
      <c r="AK65" s="6">
        <f t="shared" si="40"/>
        <v>1.0912322156001044</v>
      </c>
    </row>
    <row r="66" spans="1:37" x14ac:dyDescent="0.3">
      <c r="A66" s="3" t="s">
        <v>72</v>
      </c>
      <c r="B66" s="5">
        <f>380.68</f>
        <v>380.68</v>
      </c>
      <c r="C66" s="5">
        <f>268.33</f>
        <v>268.33</v>
      </c>
      <c r="D66" s="5">
        <f t="shared" si="21"/>
        <v>112.35000000000002</v>
      </c>
      <c r="E66" s="6">
        <f t="shared" si="22"/>
        <v>1.4187008534267507</v>
      </c>
      <c r="F66" s="5">
        <f>224.77</f>
        <v>224.77</v>
      </c>
      <c r="G66" s="5">
        <f>268.33</f>
        <v>268.33</v>
      </c>
      <c r="H66" s="5">
        <f t="shared" si="23"/>
        <v>-43.559999999999974</v>
      </c>
      <c r="I66" s="6">
        <f t="shared" si="24"/>
        <v>0.83766257965937474</v>
      </c>
      <c r="J66" s="5">
        <f>238.34</f>
        <v>238.34</v>
      </c>
      <c r="K66" s="5">
        <f>268.33</f>
        <v>268.33</v>
      </c>
      <c r="L66" s="5">
        <f t="shared" si="25"/>
        <v>-29.989999999999981</v>
      </c>
      <c r="M66" s="6">
        <f t="shared" si="26"/>
        <v>0.88823463645511136</v>
      </c>
      <c r="N66" s="5">
        <f>237.08</f>
        <v>237.08</v>
      </c>
      <c r="O66" s="5">
        <f>268.33</f>
        <v>268.33</v>
      </c>
      <c r="P66" s="5">
        <f t="shared" si="27"/>
        <v>-31.249999999999972</v>
      </c>
      <c r="Q66" s="6">
        <f t="shared" si="28"/>
        <v>0.88353892594939076</v>
      </c>
      <c r="R66" s="5">
        <f>307.59</f>
        <v>307.58999999999997</v>
      </c>
      <c r="S66" s="5">
        <f>268.33</f>
        <v>268.33</v>
      </c>
      <c r="T66" s="5">
        <f t="shared" si="29"/>
        <v>39.259999999999991</v>
      </c>
      <c r="U66" s="6">
        <f t="shared" si="30"/>
        <v>1.1463123765512615</v>
      </c>
      <c r="V66" s="5">
        <f>279.11</f>
        <v>279.11</v>
      </c>
      <c r="W66" s="5">
        <f>268.33</f>
        <v>268.33</v>
      </c>
      <c r="X66" s="5">
        <f t="shared" si="31"/>
        <v>10.78000000000003</v>
      </c>
      <c r="Y66" s="6">
        <f t="shared" si="32"/>
        <v>1.0401744121044982</v>
      </c>
      <c r="Z66" s="5">
        <f>260.65</f>
        <v>260.64999999999998</v>
      </c>
      <c r="AA66" s="5">
        <f>268.33</f>
        <v>268.33</v>
      </c>
      <c r="AB66" s="5">
        <f t="shared" si="33"/>
        <v>-7.6800000000000068</v>
      </c>
      <c r="AC66" s="6">
        <f t="shared" si="34"/>
        <v>0.97137852644132228</v>
      </c>
      <c r="AD66" s="5">
        <f>414.28</f>
        <v>414.28</v>
      </c>
      <c r="AE66" s="5">
        <f>268.33</f>
        <v>268.33</v>
      </c>
      <c r="AF66" s="5">
        <f t="shared" si="35"/>
        <v>145.94999999999999</v>
      </c>
      <c r="AG66" s="6">
        <f t="shared" si="36"/>
        <v>1.5439198002459658</v>
      </c>
      <c r="AH66" s="5">
        <f t="shared" si="37"/>
        <v>2342.5</v>
      </c>
      <c r="AI66" s="5">
        <f t="shared" si="38"/>
        <v>2146.64</v>
      </c>
      <c r="AJ66" s="5">
        <f t="shared" si="39"/>
        <v>195.86000000000013</v>
      </c>
      <c r="AK66" s="6">
        <f t="shared" si="40"/>
        <v>1.0912402638542094</v>
      </c>
    </row>
    <row r="67" spans="1:37" x14ac:dyDescent="0.3">
      <c r="A67" s="3" t="s">
        <v>73</v>
      </c>
      <c r="B67" s="5">
        <f>0</f>
        <v>0</v>
      </c>
      <c r="C67" s="4"/>
      <c r="D67" s="5">
        <f t="shared" si="21"/>
        <v>0</v>
      </c>
      <c r="E67" s="6" t="str">
        <f t="shared" si="22"/>
        <v/>
      </c>
      <c r="F67" s="5">
        <f>0</f>
        <v>0</v>
      </c>
      <c r="G67" s="4"/>
      <c r="H67" s="5">
        <f t="shared" si="23"/>
        <v>0</v>
      </c>
      <c r="I67" s="6" t="str">
        <f t="shared" si="24"/>
        <v/>
      </c>
      <c r="J67" s="5">
        <f>0</f>
        <v>0</v>
      </c>
      <c r="K67" s="4"/>
      <c r="L67" s="5">
        <f t="shared" si="25"/>
        <v>0</v>
      </c>
      <c r="M67" s="6" t="str">
        <f t="shared" si="26"/>
        <v/>
      </c>
      <c r="N67" s="5">
        <f>0</f>
        <v>0</v>
      </c>
      <c r="O67" s="4"/>
      <c r="P67" s="5">
        <f t="shared" si="27"/>
        <v>0</v>
      </c>
      <c r="Q67" s="6" t="str">
        <f t="shared" si="28"/>
        <v/>
      </c>
      <c r="R67" s="5">
        <f>0</f>
        <v>0</v>
      </c>
      <c r="S67" s="4"/>
      <c r="T67" s="5">
        <f t="shared" si="29"/>
        <v>0</v>
      </c>
      <c r="U67" s="6" t="str">
        <f t="shared" si="30"/>
        <v/>
      </c>
      <c r="V67" s="5">
        <f>0</f>
        <v>0</v>
      </c>
      <c r="W67" s="4"/>
      <c r="X67" s="5">
        <f t="shared" si="31"/>
        <v>0</v>
      </c>
      <c r="Y67" s="6" t="str">
        <f t="shared" si="32"/>
        <v/>
      </c>
      <c r="Z67" s="5">
        <f>0</f>
        <v>0</v>
      </c>
      <c r="AA67" s="4"/>
      <c r="AB67" s="5">
        <f t="shared" si="33"/>
        <v>0</v>
      </c>
      <c r="AC67" s="6" t="str">
        <f t="shared" si="34"/>
        <v/>
      </c>
      <c r="AD67" s="5">
        <f>-0.01</f>
        <v>-0.01</v>
      </c>
      <c r="AE67" s="4"/>
      <c r="AF67" s="5">
        <f t="shared" si="35"/>
        <v>-0.01</v>
      </c>
      <c r="AG67" s="6" t="str">
        <f t="shared" si="36"/>
        <v/>
      </c>
      <c r="AH67" s="5">
        <f t="shared" si="37"/>
        <v>-0.01</v>
      </c>
      <c r="AI67" s="5">
        <f t="shared" si="38"/>
        <v>0</v>
      </c>
      <c r="AJ67" s="5">
        <f t="shared" si="39"/>
        <v>-0.01</v>
      </c>
      <c r="AK67" s="6" t="str">
        <f t="shared" si="40"/>
        <v/>
      </c>
    </row>
    <row r="68" spans="1:37" x14ac:dyDescent="0.3">
      <c r="A68" s="3" t="s">
        <v>74</v>
      </c>
      <c r="B68" s="7">
        <f>(((B64)+(B65))+(B66))+(B67)</f>
        <v>1087.6600000000001</v>
      </c>
      <c r="C68" s="7">
        <f>(((C64)+(C65))+(C66))+(C67)</f>
        <v>766.66</v>
      </c>
      <c r="D68" s="7">
        <f t="shared" si="21"/>
        <v>321.00000000000011</v>
      </c>
      <c r="E68" s="8">
        <f t="shared" si="22"/>
        <v>1.418699293037331</v>
      </c>
      <c r="F68" s="7">
        <f>(((F64)+(F65))+(F66))+(F67)</f>
        <v>642.19000000000005</v>
      </c>
      <c r="G68" s="7">
        <f>(((G64)+(G65))+(G66))+(G67)</f>
        <v>766.66</v>
      </c>
      <c r="H68" s="7">
        <f t="shared" si="23"/>
        <v>-124.46999999999991</v>
      </c>
      <c r="I68" s="8">
        <f t="shared" si="24"/>
        <v>0.83764641431664633</v>
      </c>
      <c r="J68" s="7">
        <f>(((J64)+(J65))+(J66))+(J67)</f>
        <v>680.96</v>
      </c>
      <c r="K68" s="7">
        <f>(((K64)+(K65))+(K66))+(K67)</f>
        <v>766.66</v>
      </c>
      <c r="L68" s="7">
        <f t="shared" si="25"/>
        <v>-85.699999999999932</v>
      </c>
      <c r="M68" s="8">
        <f t="shared" si="26"/>
        <v>0.88821641927321116</v>
      </c>
      <c r="N68" s="7">
        <f>(((N64)+(N65))+(N66))+(N67)</f>
        <v>677.38</v>
      </c>
      <c r="O68" s="7">
        <f>(((O64)+(O65))+(O66))+(O67)</f>
        <v>766.66</v>
      </c>
      <c r="P68" s="7">
        <f t="shared" si="27"/>
        <v>-89.279999999999973</v>
      </c>
      <c r="Q68" s="8">
        <f t="shared" si="28"/>
        <v>0.88354681345055175</v>
      </c>
      <c r="R68" s="7">
        <f>(((R64)+(R65))+(R66))+(R67)</f>
        <v>878.81999999999994</v>
      </c>
      <c r="S68" s="7">
        <f>(((S64)+(S65))+(S66))+(S67)</f>
        <v>766.66</v>
      </c>
      <c r="T68" s="7">
        <f t="shared" si="29"/>
        <v>112.15999999999997</v>
      </c>
      <c r="U68" s="8">
        <f t="shared" si="30"/>
        <v>1.146296924321081</v>
      </c>
      <c r="V68" s="7">
        <f>(((V64)+(V65))+(V66))+(V67)</f>
        <v>797.46</v>
      </c>
      <c r="W68" s="7">
        <f>(((W64)+(W65))+(W66))+(W67)</f>
        <v>766.66</v>
      </c>
      <c r="X68" s="7">
        <f t="shared" si="31"/>
        <v>30.800000000000068</v>
      </c>
      <c r="Y68" s="8">
        <f t="shared" si="32"/>
        <v>1.0401742623848904</v>
      </c>
      <c r="Z68" s="7">
        <f>(((Z64)+(Z65))+(Z66))+(Z67)</f>
        <v>744.71</v>
      </c>
      <c r="AA68" s="7">
        <f>(((AA64)+(AA65))+(AA66))+(AA67)</f>
        <v>766.66</v>
      </c>
      <c r="AB68" s="7">
        <f t="shared" si="33"/>
        <v>-21.949999999999932</v>
      </c>
      <c r="AC68" s="8">
        <f t="shared" si="34"/>
        <v>0.97136931625492406</v>
      </c>
      <c r="AD68" s="7">
        <f>(((AD64)+(AD65))+(AD66))+(AD67)</f>
        <v>1183.6600000000001</v>
      </c>
      <c r="AE68" s="7">
        <f>(((AE64)+(AE65))+(AE66))+(AE67)</f>
        <v>766.66</v>
      </c>
      <c r="AF68" s="7">
        <f t="shared" si="35"/>
        <v>417.00000000000011</v>
      </c>
      <c r="AG68" s="8">
        <f t="shared" si="36"/>
        <v>1.543917773198028</v>
      </c>
      <c r="AH68" s="7">
        <f t="shared" si="37"/>
        <v>6692.84</v>
      </c>
      <c r="AI68" s="7">
        <f t="shared" si="38"/>
        <v>6133.28</v>
      </c>
      <c r="AJ68" s="7">
        <f t="shared" si="39"/>
        <v>559.5600000000004</v>
      </c>
      <c r="AK68" s="8">
        <f t="shared" si="40"/>
        <v>1.0912334020295829</v>
      </c>
    </row>
    <row r="69" spans="1:37" x14ac:dyDescent="0.3">
      <c r="A69" s="3" t="s">
        <v>75</v>
      </c>
      <c r="B69" s="4"/>
      <c r="C69" s="4"/>
      <c r="D69" s="5">
        <f t="shared" si="21"/>
        <v>0</v>
      </c>
      <c r="E69" s="6" t="str">
        <f t="shared" si="22"/>
        <v/>
      </c>
      <c r="F69" s="4"/>
      <c r="G69" s="4"/>
      <c r="H69" s="5">
        <f t="shared" si="23"/>
        <v>0</v>
      </c>
      <c r="I69" s="6" t="str">
        <f t="shared" si="24"/>
        <v/>
      </c>
      <c r="J69" s="4"/>
      <c r="K69" s="4"/>
      <c r="L69" s="5">
        <f t="shared" si="25"/>
        <v>0</v>
      </c>
      <c r="M69" s="6" t="str">
        <f t="shared" si="26"/>
        <v/>
      </c>
      <c r="N69" s="4"/>
      <c r="O69" s="4"/>
      <c r="P69" s="5">
        <f t="shared" si="27"/>
        <v>0</v>
      </c>
      <c r="Q69" s="6" t="str">
        <f t="shared" si="28"/>
        <v/>
      </c>
      <c r="R69" s="4"/>
      <c r="S69" s="4"/>
      <c r="T69" s="5">
        <f t="shared" si="29"/>
        <v>0</v>
      </c>
      <c r="U69" s="6" t="str">
        <f t="shared" si="30"/>
        <v/>
      </c>
      <c r="V69" s="4"/>
      <c r="W69" s="4"/>
      <c r="X69" s="5">
        <f t="shared" si="31"/>
        <v>0</v>
      </c>
      <c r="Y69" s="6" t="str">
        <f t="shared" si="32"/>
        <v/>
      </c>
      <c r="Z69" s="4"/>
      <c r="AA69" s="4"/>
      <c r="AB69" s="5">
        <f t="shared" si="33"/>
        <v>0</v>
      </c>
      <c r="AC69" s="6" t="str">
        <f t="shared" si="34"/>
        <v/>
      </c>
      <c r="AD69" s="4"/>
      <c r="AE69" s="4"/>
      <c r="AF69" s="5">
        <f t="shared" si="35"/>
        <v>0</v>
      </c>
      <c r="AG69" s="6" t="str">
        <f t="shared" si="36"/>
        <v/>
      </c>
      <c r="AH69" s="5">
        <f t="shared" si="37"/>
        <v>0</v>
      </c>
      <c r="AI69" s="5">
        <f t="shared" si="38"/>
        <v>0</v>
      </c>
      <c r="AJ69" s="5">
        <f t="shared" si="39"/>
        <v>0</v>
      </c>
      <c r="AK69" s="6" t="str">
        <f t="shared" si="40"/>
        <v/>
      </c>
    </row>
    <row r="70" spans="1:37" x14ac:dyDescent="0.3">
      <c r="A70" s="3" t="s">
        <v>76</v>
      </c>
      <c r="B70" s="4"/>
      <c r="C70" s="5">
        <f>260</f>
        <v>260</v>
      </c>
      <c r="D70" s="5">
        <f t="shared" si="21"/>
        <v>-260</v>
      </c>
      <c r="E70" s="6">
        <f t="shared" si="22"/>
        <v>0</v>
      </c>
      <c r="F70" s="4"/>
      <c r="G70" s="5">
        <f>260</f>
        <v>260</v>
      </c>
      <c r="H70" s="5">
        <f t="shared" si="23"/>
        <v>-260</v>
      </c>
      <c r="I70" s="6">
        <f t="shared" si="24"/>
        <v>0</v>
      </c>
      <c r="J70" s="4"/>
      <c r="K70" s="5">
        <f>260</f>
        <v>260</v>
      </c>
      <c r="L70" s="5">
        <f t="shared" si="25"/>
        <v>-260</v>
      </c>
      <c r="M70" s="6">
        <f t="shared" si="26"/>
        <v>0</v>
      </c>
      <c r="N70" s="4"/>
      <c r="O70" s="5">
        <f>260</f>
        <v>260</v>
      </c>
      <c r="P70" s="5">
        <f t="shared" si="27"/>
        <v>-260</v>
      </c>
      <c r="Q70" s="6">
        <f t="shared" si="28"/>
        <v>0</v>
      </c>
      <c r="R70" s="4"/>
      <c r="S70" s="5">
        <f>260</f>
        <v>260</v>
      </c>
      <c r="T70" s="5">
        <f t="shared" si="29"/>
        <v>-260</v>
      </c>
      <c r="U70" s="6">
        <f t="shared" si="30"/>
        <v>0</v>
      </c>
      <c r="V70" s="4"/>
      <c r="W70" s="5">
        <f>260</f>
        <v>260</v>
      </c>
      <c r="X70" s="5">
        <f t="shared" si="31"/>
        <v>-260</v>
      </c>
      <c r="Y70" s="6">
        <f t="shared" si="32"/>
        <v>0</v>
      </c>
      <c r="Z70" s="4"/>
      <c r="AA70" s="5">
        <f>260</f>
        <v>260</v>
      </c>
      <c r="AB70" s="5">
        <f t="shared" si="33"/>
        <v>-260</v>
      </c>
      <c r="AC70" s="6">
        <f t="shared" si="34"/>
        <v>0</v>
      </c>
      <c r="AD70" s="4"/>
      <c r="AE70" s="5">
        <f>260</f>
        <v>260</v>
      </c>
      <c r="AF70" s="5">
        <f t="shared" si="35"/>
        <v>-260</v>
      </c>
      <c r="AG70" s="6">
        <f t="shared" si="36"/>
        <v>0</v>
      </c>
      <c r="AH70" s="5">
        <f t="shared" si="37"/>
        <v>0</v>
      </c>
      <c r="AI70" s="5">
        <f t="shared" si="38"/>
        <v>2080</v>
      </c>
      <c r="AJ70" s="5">
        <f t="shared" si="39"/>
        <v>-2080</v>
      </c>
      <c r="AK70" s="6">
        <f t="shared" si="40"/>
        <v>0</v>
      </c>
    </row>
    <row r="71" spans="1:37" x14ac:dyDescent="0.3">
      <c r="A71" s="3" t="s">
        <v>77</v>
      </c>
      <c r="B71" s="4"/>
      <c r="C71" s="5">
        <f>140</f>
        <v>140</v>
      </c>
      <c r="D71" s="5">
        <f t="shared" si="21"/>
        <v>-140</v>
      </c>
      <c r="E71" s="6">
        <f t="shared" si="22"/>
        <v>0</v>
      </c>
      <c r="F71" s="4"/>
      <c r="G71" s="5">
        <f>140</f>
        <v>140</v>
      </c>
      <c r="H71" s="5">
        <f t="shared" si="23"/>
        <v>-140</v>
      </c>
      <c r="I71" s="6">
        <f t="shared" si="24"/>
        <v>0</v>
      </c>
      <c r="J71" s="4"/>
      <c r="K71" s="5">
        <f>140</f>
        <v>140</v>
      </c>
      <c r="L71" s="5">
        <f t="shared" si="25"/>
        <v>-140</v>
      </c>
      <c r="M71" s="6">
        <f t="shared" si="26"/>
        <v>0</v>
      </c>
      <c r="N71" s="4"/>
      <c r="O71" s="5">
        <f>140</f>
        <v>140</v>
      </c>
      <c r="P71" s="5">
        <f t="shared" si="27"/>
        <v>-140</v>
      </c>
      <c r="Q71" s="6">
        <f t="shared" si="28"/>
        <v>0</v>
      </c>
      <c r="R71" s="4"/>
      <c r="S71" s="5">
        <f>140</f>
        <v>140</v>
      </c>
      <c r="T71" s="5">
        <f t="shared" si="29"/>
        <v>-140</v>
      </c>
      <c r="U71" s="6">
        <f t="shared" si="30"/>
        <v>0</v>
      </c>
      <c r="V71" s="4"/>
      <c r="W71" s="5">
        <f>140</f>
        <v>140</v>
      </c>
      <c r="X71" s="5">
        <f t="shared" si="31"/>
        <v>-140</v>
      </c>
      <c r="Y71" s="6">
        <f t="shared" si="32"/>
        <v>0</v>
      </c>
      <c r="Z71" s="4"/>
      <c r="AA71" s="5">
        <f>140</f>
        <v>140</v>
      </c>
      <c r="AB71" s="5">
        <f t="shared" si="33"/>
        <v>-140</v>
      </c>
      <c r="AC71" s="6">
        <f t="shared" si="34"/>
        <v>0</v>
      </c>
      <c r="AD71" s="4"/>
      <c r="AE71" s="5">
        <f>140</f>
        <v>140</v>
      </c>
      <c r="AF71" s="5">
        <f t="shared" si="35"/>
        <v>-140</v>
      </c>
      <c r="AG71" s="6">
        <f t="shared" si="36"/>
        <v>0</v>
      </c>
      <c r="AH71" s="5">
        <f t="shared" si="37"/>
        <v>0</v>
      </c>
      <c r="AI71" s="5">
        <f t="shared" si="38"/>
        <v>1120</v>
      </c>
      <c r="AJ71" s="5">
        <f t="shared" si="39"/>
        <v>-1120</v>
      </c>
      <c r="AK71" s="6">
        <f t="shared" si="40"/>
        <v>0</v>
      </c>
    </row>
    <row r="72" spans="1:37" x14ac:dyDescent="0.3">
      <c r="A72" s="3" t="s">
        <v>78</v>
      </c>
      <c r="B72" s="7">
        <f>((B69)+(B70))+(B71)</f>
        <v>0</v>
      </c>
      <c r="C72" s="7">
        <f>((C69)+(C70))+(C71)</f>
        <v>400</v>
      </c>
      <c r="D72" s="7">
        <f t="shared" si="21"/>
        <v>-400</v>
      </c>
      <c r="E72" s="8">
        <f t="shared" si="22"/>
        <v>0</v>
      </c>
      <c r="F72" s="7">
        <f>((F69)+(F70))+(F71)</f>
        <v>0</v>
      </c>
      <c r="G72" s="7">
        <f>((G69)+(G70))+(G71)</f>
        <v>400</v>
      </c>
      <c r="H72" s="7">
        <f t="shared" si="23"/>
        <v>-400</v>
      </c>
      <c r="I72" s="8">
        <f t="shared" si="24"/>
        <v>0</v>
      </c>
      <c r="J72" s="7">
        <f>((J69)+(J70))+(J71)</f>
        <v>0</v>
      </c>
      <c r="K72" s="7">
        <f>((K69)+(K70))+(K71)</f>
        <v>400</v>
      </c>
      <c r="L72" s="7">
        <f t="shared" si="25"/>
        <v>-400</v>
      </c>
      <c r="M72" s="8">
        <f t="shared" si="26"/>
        <v>0</v>
      </c>
      <c r="N72" s="7">
        <f>((N69)+(N70))+(N71)</f>
        <v>0</v>
      </c>
      <c r="O72" s="7">
        <f>((O69)+(O70))+(O71)</f>
        <v>400</v>
      </c>
      <c r="P72" s="7">
        <f t="shared" si="27"/>
        <v>-400</v>
      </c>
      <c r="Q72" s="8">
        <f t="shared" si="28"/>
        <v>0</v>
      </c>
      <c r="R72" s="7">
        <f>((R69)+(R70))+(R71)</f>
        <v>0</v>
      </c>
      <c r="S72" s="7">
        <f>((S69)+(S70))+(S71)</f>
        <v>400</v>
      </c>
      <c r="T72" s="7">
        <f t="shared" si="29"/>
        <v>-400</v>
      </c>
      <c r="U72" s="8">
        <f t="shared" si="30"/>
        <v>0</v>
      </c>
      <c r="V72" s="7">
        <f>((V69)+(V70))+(V71)</f>
        <v>0</v>
      </c>
      <c r="W72" s="7">
        <f>((W69)+(W70))+(W71)</f>
        <v>400</v>
      </c>
      <c r="X72" s="7">
        <f t="shared" si="31"/>
        <v>-400</v>
      </c>
      <c r="Y72" s="8">
        <f t="shared" si="32"/>
        <v>0</v>
      </c>
      <c r="Z72" s="7">
        <f>((Z69)+(Z70))+(Z71)</f>
        <v>0</v>
      </c>
      <c r="AA72" s="7">
        <f>((AA69)+(AA70))+(AA71)</f>
        <v>400</v>
      </c>
      <c r="AB72" s="7">
        <f t="shared" si="33"/>
        <v>-400</v>
      </c>
      <c r="AC72" s="8">
        <f t="shared" si="34"/>
        <v>0</v>
      </c>
      <c r="AD72" s="7">
        <f>((AD69)+(AD70))+(AD71)</f>
        <v>0</v>
      </c>
      <c r="AE72" s="7">
        <f>((AE69)+(AE70))+(AE71)</f>
        <v>400</v>
      </c>
      <c r="AF72" s="7">
        <f t="shared" si="35"/>
        <v>-400</v>
      </c>
      <c r="AG72" s="8">
        <f t="shared" si="36"/>
        <v>0</v>
      </c>
      <c r="AH72" s="7">
        <f t="shared" si="37"/>
        <v>0</v>
      </c>
      <c r="AI72" s="7">
        <f t="shared" si="38"/>
        <v>3200</v>
      </c>
      <c r="AJ72" s="7">
        <f t="shared" si="39"/>
        <v>-3200</v>
      </c>
      <c r="AK72" s="8">
        <f t="shared" si="40"/>
        <v>0</v>
      </c>
    </row>
    <row r="73" spans="1:37" x14ac:dyDescent="0.3">
      <c r="A73" s="3" t="s">
        <v>79</v>
      </c>
      <c r="B73" s="4"/>
      <c r="C73" s="4"/>
      <c r="D73" s="5">
        <f t="shared" si="21"/>
        <v>0</v>
      </c>
      <c r="E73" s="6" t="str">
        <f t="shared" si="22"/>
        <v/>
      </c>
      <c r="F73" s="4"/>
      <c r="G73" s="4"/>
      <c r="H73" s="5">
        <f t="shared" si="23"/>
        <v>0</v>
      </c>
      <c r="I73" s="6" t="str">
        <f t="shared" si="24"/>
        <v/>
      </c>
      <c r="J73" s="4"/>
      <c r="K73" s="4"/>
      <c r="L73" s="5">
        <f t="shared" si="25"/>
        <v>0</v>
      </c>
      <c r="M73" s="6" t="str">
        <f t="shared" si="26"/>
        <v/>
      </c>
      <c r="N73" s="4"/>
      <c r="O73" s="4"/>
      <c r="P73" s="5">
        <f t="shared" si="27"/>
        <v>0</v>
      </c>
      <c r="Q73" s="6" t="str">
        <f t="shared" si="28"/>
        <v/>
      </c>
      <c r="R73" s="4"/>
      <c r="S73" s="4"/>
      <c r="T73" s="5">
        <f t="shared" si="29"/>
        <v>0</v>
      </c>
      <c r="U73" s="6" t="str">
        <f t="shared" si="30"/>
        <v/>
      </c>
      <c r="V73" s="4"/>
      <c r="W73" s="4"/>
      <c r="X73" s="5">
        <f t="shared" si="31"/>
        <v>0</v>
      </c>
      <c r="Y73" s="6" t="str">
        <f t="shared" si="32"/>
        <v/>
      </c>
      <c r="Z73" s="4"/>
      <c r="AA73" s="4"/>
      <c r="AB73" s="5">
        <f t="shared" si="33"/>
        <v>0</v>
      </c>
      <c r="AC73" s="6" t="str">
        <f t="shared" si="34"/>
        <v/>
      </c>
      <c r="AD73" s="4"/>
      <c r="AE73" s="4"/>
      <c r="AF73" s="5">
        <f t="shared" si="35"/>
        <v>0</v>
      </c>
      <c r="AG73" s="6" t="str">
        <f t="shared" si="36"/>
        <v/>
      </c>
      <c r="AH73" s="5">
        <f t="shared" si="37"/>
        <v>0</v>
      </c>
      <c r="AI73" s="5">
        <f t="shared" si="38"/>
        <v>0</v>
      </c>
      <c r="AJ73" s="5">
        <f t="shared" si="39"/>
        <v>0</v>
      </c>
      <c r="AK73" s="6" t="str">
        <f t="shared" si="40"/>
        <v/>
      </c>
    </row>
    <row r="74" spans="1:37" x14ac:dyDescent="0.3">
      <c r="A74" s="3" t="s">
        <v>80</v>
      </c>
      <c r="B74" s="5">
        <f>132.8</f>
        <v>132.80000000000001</v>
      </c>
      <c r="C74" s="5">
        <f>237.95</f>
        <v>237.95</v>
      </c>
      <c r="D74" s="5">
        <f t="shared" si="21"/>
        <v>-105.14999999999998</v>
      </c>
      <c r="E74" s="6">
        <f t="shared" si="22"/>
        <v>0.55810044126917424</v>
      </c>
      <c r="F74" s="5">
        <f>150.53</f>
        <v>150.53</v>
      </c>
      <c r="G74" s="5">
        <f>237.95</f>
        <v>237.95</v>
      </c>
      <c r="H74" s="5">
        <f t="shared" si="23"/>
        <v>-87.419999999999987</v>
      </c>
      <c r="I74" s="6">
        <f t="shared" si="24"/>
        <v>0.63261189325488554</v>
      </c>
      <c r="J74" s="5">
        <f>154.26</f>
        <v>154.26</v>
      </c>
      <c r="K74" s="5">
        <f>237.95</f>
        <v>237.95</v>
      </c>
      <c r="L74" s="5">
        <f t="shared" si="25"/>
        <v>-83.69</v>
      </c>
      <c r="M74" s="6">
        <f t="shared" si="26"/>
        <v>0.64828745534776211</v>
      </c>
      <c r="N74" s="5">
        <f>115.8</f>
        <v>115.8</v>
      </c>
      <c r="O74" s="5">
        <f>237.95</f>
        <v>237.95</v>
      </c>
      <c r="P74" s="5">
        <f t="shared" si="27"/>
        <v>-122.14999999999999</v>
      </c>
      <c r="Q74" s="6">
        <f t="shared" si="28"/>
        <v>0.48665686068501784</v>
      </c>
      <c r="R74" s="5">
        <f>157.12</f>
        <v>157.12</v>
      </c>
      <c r="S74" s="5">
        <f>237.95</f>
        <v>237.95</v>
      </c>
      <c r="T74" s="5">
        <f t="shared" si="29"/>
        <v>-80.829999999999984</v>
      </c>
      <c r="U74" s="6">
        <f t="shared" si="30"/>
        <v>0.66030678714015556</v>
      </c>
      <c r="V74" s="5">
        <f>143.4</f>
        <v>143.4</v>
      </c>
      <c r="W74" s="5">
        <f>237.95</f>
        <v>237.95</v>
      </c>
      <c r="X74" s="5">
        <f t="shared" si="31"/>
        <v>-94.549999999999983</v>
      </c>
      <c r="Y74" s="6">
        <f t="shared" si="32"/>
        <v>0.60264761504517761</v>
      </c>
      <c r="Z74" s="5">
        <f>140.56</f>
        <v>140.56</v>
      </c>
      <c r="AA74" s="5">
        <f>237.95</f>
        <v>237.95</v>
      </c>
      <c r="AB74" s="5">
        <f t="shared" si="33"/>
        <v>-97.389999999999986</v>
      </c>
      <c r="AC74" s="6">
        <f t="shared" si="34"/>
        <v>0.59071233452405969</v>
      </c>
      <c r="AD74" s="5">
        <f>140.56</f>
        <v>140.56</v>
      </c>
      <c r="AE74" s="5">
        <f>237.95</f>
        <v>237.95</v>
      </c>
      <c r="AF74" s="5">
        <f t="shared" si="35"/>
        <v>-97.389999999999986</v>
      </c>
      <c r="AG74" s="6">
        <f t="shared" si="36"/>
        <v>0.59071233452405969</v>
      </c>
      <c r="AH74" s="5">
        <f t="shared" si="37"/>
        <v>1135.03</v>
      </c>
      <c r="AI74" s="5">
        <f t="shared" si="38"/>
        <v>1903.6000000000001</v>
      </c>
      <c r="AJ74" s="5">
        <f t="shared" si="39"/>
        <v>-768.57000000000016</v>
      </c>
      <c r="AK74" s="6">
        <f t="shared" si="40"/>
        <v>0.59625446522378645</v>
      </c>
    </row>
    <row r="75" spans="1:37" x14ac:dyDescent="0.3">
      <c r="A75" s="3" t="s">
        <v>81</v>
      </c>
      <c r="B75" s="5">
        <f>71.51</f>
        <v>71.510000000000005</v>
      </c>
      <c r="C75" s="5">
        <f>128.13</f>
        <v>128.13</v>
      </c>
      <c r="D75" s="5">
        <f t="shared" si="21"/>
        <v>-56.61999999999999</v>
      </c>
      <c r="E75" s="6">
        <f t="shared" si="22"/>
        <v>0.55810504955904161</v>
      </c>
      <c r="F75" s="5">
        <f>81.06</f>
        <v>81.06</v>
      </c>
      <c r="G75" s="5">
        <f>128.13</f>
        <v>128.13</v>
      </c>
      <c r="H75" s="5">
        <f t="shared" si="23"/>
        <v>-47.069999999999993</v>
      </c>
      <c r="I75" s="6">
        <f t="shared" si="24"/>
        <v>0.63263872629360807</v>
      </c>
      <c r="J75" s="5">
        <f>83.07</f>
        <v>83.07</v>
      </c>
      <c r="K75" s="5">
        <f>128.13</f>
        <v>128.13</v>
      </c>
      <c r="L75" s="5">
        <f t="shared" si="25"/>
        <v>-45.06</v>
      </c>
      <c r="M75" s="6">
        <f t="shared" si="26"/>
        <v>0.64832591898852721</v>
      </c>
      <c r="N75" s="5">
        <f>62.35</f>
        <v>62.35</v>
      </c>
      <c r="O75" s="5">
        <f>128.13</f>
        <v>128.13</v>
      </c>
      <c r="P75" s="5">
        <f t="shared" si="27"/>
        <v>-65.78</v>
      </c>
      <c r="Q75" s="6">
        <f t="shared" si="28"/>
        <v>0.48661515648169829</v>
      </c>
      <c r="R75" s="5">
        <f>84.61</f>
        <v>84.61</v>
      </c>
      <c r="S75" s="5">
        <f>128.13</f>
        <v>128.13</v>
      </c>
      <c r="T75" s="5">
        <f t="shared" si="29"/>
        <v>-43.519999999999996</v>
      </c>
      <c r="U75" s="6">
        <f t="shared" si="30"/>
        <v>0.66034496214781868</v>
      </c>
      <c r="V75" s="5">
        <f>77.22</f>
        <v>77.22</v>
      </c>
      <c r="W75" s="5">
        <f>128.13</f>
        <v>128.13</v>
      </c>
      <c r="X75" s="5">
        <f t="shared" si="31"/>
        <v>-50.91</v>
      </c>
      <c r="Y75" s="6">
        <f t="shared" si="32"/>
        <v>0.60266916413018035</v>
      </c>
      <c r="Z75" s="5">
        <f>75.69</f>
        <v>75.69</v>
      </c>
      <c r="AA75" s="5">
        <f>128.13</f>
        <v>128.13</v>
      </c>
      <c r="AB75" s="5">
        <f t="shared" si="33"/>
        <v>-52.44</v>
      </c>
      <c r="AC75" s="6">
        <f t="shared" si="34"/>
        <v>0.59072816670568951</v>
      </c>
      <c r="AD75" s="5">
        <f>75.69</f>
        <v>75.69</v>
      </c>
      <c r="AE75" s="5">
        <f>128.13</f>
        <v>128.13</v>
      </c>
      <c r="AF75" s="5">
        <f t="shared" si="35"/>
        <v>-52.44</v>
      </c>
      <c r="AG75" s="6">
        <f t="shared" si="36"/>
        <v>0.59072816670568951</v>
      </c>
      <c r="AH75" s="5">
        <f t="shared" si="37"/>
        <v>611.20000000000005</v>
      </c>
      <c r="AI75" s="5">
        <f t="shared" si="38"/>
        <v>1025.04</v>
      </c>
      <c r="AJ75" s="5">
        <f t="shared" si="39"/>
        <v>-413.83999999999992</v>
      </c>
      <c r="AK75" s="6">
        <f t="shared" si="40"/>
        <v>0.59626941387653176</v>
      </c>
    </row>
    <row r="76" spans="1:37" x14ac:dyDescent="0.3">
      <c r="A76" s="3" t="s">
        <v>82</v>
      </c>
      <c r="B76" s="5">
        <f>0</f>
        <v>0</v>
      </c>
      <c r="C76" s="4"/>
      <c r="D76" s="5">
        <f t="shared" si="21"/>
        <v>0</v>
      </c>
      <c r="E76" s="6" t="str">
        <f t="shared" si="22"/>
        <v/>
      </c>
      <c r="F76" s="5">
        <f>0</f>
        <v>0</v>
      </c>
      <c r="G76" s="4"/>
      <c r="H76" s="5">
        <f t="shared" si="23"/>
        <v>0</v>
      </c>
      <c r="I76" s="6" t="str">
        <f t="shared" si="24"/>
        <v/>
      </c>
      <c r="J76" s="5">
        <f>0</f>
        <v>0</v>
      </c>
      <c r="K76" s="4"/>
      <c r="L76" s="5">
        <f t="shared" si="25"/>
        <v>0</v>
      </c>
      <c r="M76" s="6" t="str">
        <f t="shared" si="26"/>
        <v/>
      </c>
      <c r="N76" s="5">
        <f>0</f>
        <v>0</v>
      </c>
      <c r="O76" s="4"/>
      <c r="P76" s="5">
        <f t="shared" si="27"/>
        <v>0</v>
      </c>
      <c r="Q76" s="6" t="str">
        <f t="shared" si="28"/>
        <v/>
      </c>
      <c r="R76" s="5">
        <f>0</f>
        <v>0</v>
      </c>
      <c r="S76" s="4"/>
      <c r="T76" s="5">
        <f t="shared" si="29"/>
        <v>0</v>
      </c>
      <c r="U76" s="6" t="str">
        <f t="shared" si="30"/>
        <v/>
      </c>
      <c r="V76" s="5">
        <f>0</f>
        <v>0</v>
      </c>
      <c r="W76" s="4"/>
      <c r="X76" s="5">
        <f t="shared" si="31"/>
        <v>0</v>
      </c>
      <c r="Y76" s="6" t="str">
        <f t="shared" si="32"/>
        <v/>
      </c>
      <c r="Z76" s="5">
        <f>0</f>
        <v>0</v>
      </c>
      <c r="AA76" s="4"/>
      <c r="AB76" s="5">
        <f t="shared" si="33"/>
        <v>0</v>
      </c>
      <c r="AC76" s="6" t="str">
        <f t="shared" si="34"/>
        <v/>
      </c>
      <c r="AD76" s="5">
        <f>0</f>
        <v>0</v>
      </c>
      <c r="AE76" s="4"/>
      <c r="AF76" s="5">
        <f t="shared" si="35"/>
        <v>0</v>
      </c>
      <c r="AG76" s="6" t="str">
        <f t="shared" si="36"/>
        <v/>
      </c>
      <c r="AH76" s="5">
        <f t="shared" si="37"/>
        <v>0</v>
      </c>
      <c r="AI76" s="5">
        <f t="shared" si="38"/>
        <v>0</v>
      </c>
      <c r="AJ76" s="5">
        <f t="shared" si="39"/>
        <v>0</v>
      </c>
      <c r="AK76" s="6" t="str">
        <f t="shared" si="40"/>
        <v/>
      </c>
    </row>
    <row r="77" spans="1:37" x14ac:dyDescent="0.3">
      <c r="A77" s="3" t="s">
        <v>83</v>
      </c>
      <c r="B77" s="7">
        <f>(((B73)+(B74))+(B75))+(B76)</f>
        <v>204.31</v>
      </c>
      <c r="C77" s="7">
        <f>(((C73)+(C74))+(C75))+(C76)</f>
        <v>366.08</v>
      </c>
      <c r="D77" s="7">
        <f t="shared" si="21"/>
        <v>-161.76999999999998</v>
      </c>
      <c r="E77" s="8">
        <f t="shared" si="22"/>
        <v>0.55810205419580428</v>
      </c>
      <c r="F77" s="7">
        <f>(((F73)+(F74))+(F75))+(F76)</f>
        <v>231.59</v>
      </c>
      <c r="G77" s="7">
        <f>(((G73)+(G74))+(G75))+(G76)</f>
        <v>366.08</v>
      </c>
      <c r="H77" s="7">
        <f t="shared" si="23"/>
        <v>-134.48999999999998</v>
      </c>
      <c r="I77" s="8">
        <f t="shared" si="24"/>
        <v>0.632621284965035</v>
      </c>
      <c r="J77" s="7">
        <f>(((J73)+(J74))+(J75))+(J76)</f>
        <v>237.32999999999998</v>
      </c>
      <c r="K77" s="7">
        <f>(((K73)+(K74))+(K75))+(K76)</f>
        <v>366.08</v>
      </c>
      <c r="L77" s="7">
        <f t="shared" si="25"/>
        <v>-128.75</v>
      </c>
      <c r="M77" s="8">
        <f t="shared" si="26"/>
        <v>0.64830091783216781</v>
      </c>
      <c r="N77" s="7">
        <f>(((N73)+(N74))+(N75))+(N76)</f>
        <v>178.15</v>
      </c>
      <c r="O77" s="7">
        <f>(((O73)+(O74))+(O75))+(O76)</f>
        <v>366.08</v>
      </c>
      <c r="P77" s="7">
        <f t="shared" si="27"/>
        <v>-187.92999999999998</v>
      </c>
      <c r="Q77" s="8">
        <f t="shared" si="28"/>
        <v>0.48664226398601401</v>
      </c>
      <c r="R77" s="7">
        <f>(((R73)+(R74))+(R75))+(R76)</f>
        <v>241.73000000000002</v>
      </c>
      <c r="S77" s="7">
        <f>(((S73)+(S74))+(S75))+(S76)</f>
        <v>366.08</v>
      </c>
      <c r="T77" s="7">
        <f t="shared" si="29"/>
        <v>-124.34999999999997</v>
      </c>
      <c r="U77" s="8">
        <f t="shared" si="30"/>
        <v>0.66032014860139865</v>
      </c>
      <c r="V77" s="7">
        <f>(((V73)+(V74))+(V75))+(V76)</f>
        <v>220.62</v>
      </c>
      <c r="W77" s="7">
        <f>(((W73)+(W74))+(W75))+(W76)</f>
        <v>366.08</v>
      </c>
      <c r="X77" s="7">
        <f t="shared" si="31"/>
        <v>-145.45999999999998</v>
      </c>
      <c r="Y77" s="8">
        <f t="shared" si="32"/>
        <v>0.6026551573426574</v>
      </c>
      <c r="Z77" s="7">
        <f>(((Z73)+(Z74))+(Z75))+(Z76)</f>
        <v>216.25</v>
      </c>
      <c r="AA77" s="7">
        <f>(((AA73)+(AA74))+(AA75))+(AA76)</f>
        <v>366.08</v>
      </c>
      <c r="AB77" s="7">
        <f t="shared" si="33"/>
        <v>-149.82999999999998</v>
      </c>
      <c r="AC77" s="8">
        <f t="shared" si="34"/>
        <v>0.59071787587412594</v>
      </c>
      <c r="AD77" s="7">
        <f>(((AD73)+(AD74))+(AD75))+(AD76)</f>
        <v>216.25</v>
      </c>
      <c r="AE77" s="7">
        <f>(((AE73)+(AE74))+(AE75))+(AE76)</f>
        <v>366.08</v>
      </c>
      <c r="AF77" s="7">
        <f t="shared" si="35"/>
        <v>-149.82999999999998</v>
      </c>
      <c r="AG77" s="8">
        <f t="shared" si="36"/>
        <v>0.59071787587412594</v>
      </c>
      <c r="AH77" s="7">
        <f t="shared" si="37"/>
        <v>1746.23</v>
      </c>
      <c r="AI77" s="7">
        <f t="shared" si="38"/>
        <v>2928.64</v>
      </c>
      <c r="AJ77" s="7">
        <f t="shared" si="39"/>
        <v>-1182.4099999999999</v>
      </c>
      <c r="AK77" s="8">
        <f t="shared" si="40"/>
        <v>0.59625969733391615</v>
      </c>
    </row>
    <row r="78" spans="1:37" x14ac:dyDescent="0.3">
      <c r="A78" s="3" t="s">
        <v>84</v>
      </c>
      <c r="B78" s="4"/>
      <c r="C78" s="4"/>
      <c r="D78" s="5">
        <f t="shared" ref="D78:D109" si="41">(B78)-(C78)</f>
        <v>0</v>
      </c>
      <c r="E78" s="6" t="str">
        <f t="shared" ref="E78:E109" si="42">IF(C78=0,"",(B78)/(C78))</f>
        <v/>
      </c>
      <c r="F78" s="4"/>
      <c r="G78" s="4"/>
      <c r="H78" s="5">
        <f t="shared" ref="H78:H109" si="43">(F78)-(G78)</f>
        <v>0</v>
      </c>
      <c r="I78" s="6" t="str">
        <f t="shared" ref="I78:I109" si="44">IF(G78=0,"",(F78)/(G78))</f>
        <v/>
      </c>
      <c r="J78" s="4"/>
      <c r="K78" s="4"/>
      <c r="L78" s="5">
        <f t="shared" ref="L78:L109" si="45">(J78)-(K78)</f>
        <v>0</v>
      </c>
      <c r="M78" s="6" t="str">
        <f t="shared" ref="M78:M109" si="46">IF(K78=0,"",(J78)/(K78))</f>
        <v/>
      </c>
      <c r="N78" s="4"/>
      <c r="O78" s="4"/>
      <c r="P78" s="5">
        <f t="shared" ref="P78:P109" si="47">(N78)-(O78)</f>
        <v>0</v>
      </c>
      <c r="Q78" s="6" t="str">
        <f t="shared" ref="Q78:Q109" si="48">IF(O78=0,"",(N78)/(O78))</f>
        <v/>
      </c>
      <c r="R78" s="4"/>
      <c r="S78" s="4"/>
      <c r="T78" s="5">
        <f t="shared" ref="T78:T109" si="49">(R78)-(S78)</f>
        <v>0</v>
      </c>
      <c r="U78" s="6" t="str">
        <f t="shared" ref="U78:U109" si="50">IF(S78=0,"",(R78)/(S78))</f>
        <v/>
      </c>
      <c r="V78" s="4"/>
      <c r="W78" s="4"/>
      <c r="X78" s="5">
        <f t="shared" ref="X78:X109" si="51">(V78)-(W78)</f>
        <v>0</v>
      </c>
      <c r="Y78" s="6" t="str">
        <f t="shared" ref="Y78:Y109" si="52">IF(W78=0,"",(V78)/(W78))</f>
        <v/>
      </c>
      <c r="Z78" s="4"/>
      <c r="AA78" s="4"/>
      <c r="AB78" s="5">
        <f t="shared" ref="AB78:AB109" si="53">(Z78)-(AA78)</f>
        <v>0</v>
      </c>
      <c r="AC78" s="6" t="str">
        <f t="shared" ref="AC78:AC109" si="54">IF(AA78=0,"",(Z78)/(AA78))</f>
        <v/>
      </c>
      <c r="AD78" s="4"/>
      <c r="AE78" s="4"/>
      <c r="AF78" s="5">
        <f t="shared" ref="AF78:AF109" si="55">(AD78)-(AE78)</f>
        <v>0</v>
      </c>
      <c r="AG78" s="6" t="str">
        <f t="shared" ref="AG78:AG109" si="56">IF(AE78=0,"",(AD78)/(AE78))</f>
        <v/>
      </c>
      <c r="AH78" s="5">
        <f t="shared" ref="AH78:AH109" si="57">(((((((B78)+(F78))+(J78))+(N78))+(R78))+(V78))+(Z78))+(AD78)</f>
        <v>0</v>
      </c>
      <c r="AI78" s="5">
        <f t="shared" ref="AI78:AI109" si="58">(((((((C78)+(G78))+(K78))+(O78))+(S78))+(W78))+(AA78))+(AE78)</f>
        <v>0</v>
      </c>
      <c r="AJ78" s="5">
        <f t="shared" ref="AJ78:AJ109" si="59">(AH78)-(AI78)</f>
        <v>0</v>
      </c>
      <c r="AK78" s="6" t="str">
        <f t="shared" ref="AK78:AK109" si="60">IF(AI78=0,"",(AH78)/(AI78))</f>
        <v/>
      </c>
    </row>
    <row r="79" spans="1:37" x14ac:dyDescent="0.3">
      <c r="A79" s="3" t="s">
        <v>85</v>
      </c>
      <c r="B79" s="5">
        <f>80.43</f>
        <v>80.430000000000007</v>
      </c>
      <c r="C79" s="5">
        <f>53.95</f>
        <v>53.95</v>
      </c>
      <c r="D79" s="5">
        <f t="shared" si="41"/>
        <v>26.480000000000004</v>
      </c>
      <c r="E79" s="6">
        <f t="shared" si="42"/>
        <v>1.4908248378127897</v>
      </c>
      <c r="F79" s="5">
        <f>0</f>
        <v>0</v>
      </c>
      <c r="G79" s="5">
        <f>53.95</f>
        <v>53.95</v>
      </c>
      <c r="H79" s="5">
        <f t="shared" si="43"/>
        <v>-53.95</v>
      </c>
      <c r="I79" s="6">
        <f t="shared" si="44"/>
        <v>0</v>
      </c>
      <c r="J79" s="5">
        <f>0</f>
        <v>0</v>
      </c>
      <c r="K79" s="5">
        <f>53.95</f>
        <v>53.95</v>
      </c>
      <c r="L79" s="5">
        <f t="shared" si="45"/>
        <v>-53.95</v>
      </c>
      <c r="M79" s="6">
        <f t="shared" si="46"/>
        <v>0</v>
      </c>
      <c r="N79" s="5">
        <f>0</f>
        <v>0</v>
      </c>
      <c r="O79" s="5">
        <f>53.95</f>
        <v>53.95</v>
      </c>
      <c r="P79" s="5">
        <f t="shared" si="47"/>
        <v>-53.95</v>
      </c>
      <c r="Q79" s="6">
        <f t="shared" si="48"/>
        <v>0</v>
      </c>
      <c r="R79" s="4"/>
      <c r="S79" s="5">
        <f>53.95</f>
        <v>53.95</v>
      </c>
      <c r="T79" s="5">
        <f t="shared" si="49"/>
        <v>-53.95</v>
      </c>
      <c r="U79" s="6">
        <f t="shared" si="50"/>
        <v>0</v>
      </c>
      <c r="V79" s="4"/>
      <c r="W79" s="5">
        <f>53.95</f>
        <v>53.95</v>
      </c>
      <c r="X79" s="5">
        <f t="shared" si="51"/>
        <v>-53.95</v>
      </c>
      <c r="Y79" s="6">
        <f t="shared" si="52"/>
        <v>0</v>
      </c>
      <c r="Z79" s="4"/>
      <c r="AA79" s="5">
        <f>53.95</f>
        <v>53.95</v>
      </c>
      <c r="AB79" s="5">
        <f t="shared" si="53"/>
        <v>-53.95</v>
      </c>
      <c r="AC79" s="6">
        <f t="shared" si="54"/>
        <v>0</v>
      </c>
      <c r="AD79" s="4"/>
      <c r="AE79" s="5">
        <f>53.95</f>
        <v>53.95</v>
      </c>
      <c r="AF79" s="5">
        <f t="shared" si="55"/>
        <v>-53.95</v>
      </c>
      <c r="AG79" s="6">
        <f t="shared" si="56"/>
        <v>0</v>
      </c>
      <c r="AH79" s="5">
        <f t="shared" si="57"/>
        <v>80.430000000000007</v>
      </c>
      <c r="AI79" s="5">
        <f t="shared" si="58"/>
        <v>431.59999999999997</v>
      </c>
      <c r="AJ79" s="5">
        <f t="shared" si="59"/>
        <v>-351.16999999999996</v>
      </c>
      <c r="AK79" s="6">
        <f t="shared" si="60"/>
        <v>0.18635310472659875</v>
      </c>
    </row>
    <row r="80" spans="1:37" x14ac:dyDescent="0.3">
      <c r="A80" s="3" t="s">
        <v>86</v>
      </c>
      <c r="B80" s="5">
        <f>43.31</f>
        <v>43.31</v>
      </c>
      <c r="C80" s="5">
        <f>29.05</f>
        <v>29.05</v>
      </c>
      <c r="D80" s="5">
        <f t="shared" si="41"/>
        <v>14.260000000000002</v>
      </c>
      <c r="E80" s="6">
        <f t="shared" si="42"/>
        <v>1.4908777969018934</v>
      </c>
      <c r="F80" s="5">
        <f>0</f>
        <v>0</v>
      </c>
      <c r="G80" s="5">
        <f>29.05</f>
        <v>29.05</v>
      </c>
      <c r="H80" s="5">
        <f t="shared" si="43"/>
        <v>-29.05</v>
      </c>
      <c r="I80" s="6">
        <f t="shared" si="44"/>
        <v>0</v>
      </c>
      <c r="J80" s="5">
        <f>0</f>
        <v>0</v>
      </c>
      <c r="K80" s="5">
        <f>29.05</f>
        <v>29.05</v>
      </c>
      <c r="L80" s="5">
        <f t="shared" si="45"/>
        <v>-29.05</v>
      </c>
      <c r="M80" s="6">
        <f t="shared" si="46"/>
        <v>0</v>
      </c>
      <c r="N80" s="5">
        <f>0</f>
        <v>0</v>
      </c>
      <c r="O80" s="5">
        <f>29.05</f>
        <v>29.05</v>
      </c>
      <c r="P80" s="5">
        <f t="shared" si="47"/>
        <v>-29.05</v>
      </c>
      <c r="Q80" s="6">
        <f t="shared" si="48"/>
        <v>0</v>
      </c>
      <c r="R80" s="4"/>
      <c r="S80" s="5">
        <f>29.05</f>
        <v>29.05</v>
      </c>
      <c r="T80" s="5">
        <f t="shared" si="49"/>
        <v>-29.05</v>
      </c>
      <c r="U80" s="6">
        <f t="shared" si="50"/>
        <v>0</v>
      </c>
      <c r="V80" s="4"/>
      <c r="W80" s="5">
        <f>29.05</f>
        <v>29.05</v>
      </c>
      <c r="X80" s="5">
        <f t="shared" si="51"/>
        <v>-29.05</v>
      </c>
      <c r="Y80" s="6">
        <f t="shared" si="52"/>
        <v>0</v>
      </c>
      <c r="Z80" s="4"/>
      <c r="AA80" s="5">
        <f>29.05</f>
        <v>29.05</v>
      </c>
      <c r="AB80" s="5">
        <f t="shared" si="53"/>
        <v>-29.05</v>
      </c>
      <c r="AC80" s="6">
        <f t="shared" si="54"/>
        <v>0</v>
      </c>
      <c r="AD80" s="4"/>
      <c r="AE80" s="5">
        <f>29.05</f>
        <v>29.05</v>
      </c>
      <c r="AF80" s="5">
        <f t="shared" si="55"/>
        <v>-29.05</v>
      </c>
      <c r="AG80" s="6">
        <f t="shared" si="56"/>
        <v>0</v>
      </c>
      <c r="AH80" s="5">
        <f t="shared" si="57"/>
        <v>43.31</v>
      </c>
      <c r="AI80" s="5">
        <f t="shared" si="58"/>
        <v>232.40000000000003</v>
      </c>
      <c r="AJ80" s="5">
        <f t="shared" si="59"/>
        <v>-189.09000000000003</v>
      </c>
      <c r="AK80" s="6">
        <f t="shared" si="60"/>
        <v>0.18635972461273664</v>
      </c>
    </row>
    <row r="81" spans="1:37" x14ac:dyDescent="0.3">
      <c r="A81" s="3" t="s">
        <v>87</v>
      </c>
      <c r="B81" s="5">
        <f>0</f>
        <v>0</v>
      </c>
      <c r="C81" s="4"/>
      <c r="D81" s="5">
        <f t="shared" si="41"/>
        <v>0</v>
      </c>
      <c r="E81" s="6" t="str">
        <f t="shared" si="42"/>
        <v/>
      </c>
      <c r="F81" s="5">
        <f>0</f>
        <v>0</v>
      </c>
      <c r="G81" s="4"/>
      <c r="H81" s="5">
        <f t="shared" si="43"/>
        <v>0</v>
      </c>
      <c r="I81" s="6" t="str">
        <f t="shared" si="44"/>
        <v/>
      </c>
      <c r="J81" s="5">
        <f>0</f>
        <v>0</v>
      </c>
      <c r="K81" s="4"/>
      <c r="L81" s="5">
        <f t="shared" si="45"/>
        <v>0</v>
      </c>
      <c r="M81" s="6" t="str">
        <f t="shared" si="46"/>
        <v/>
      </c>
      <c r="N81" s="5">
        <f>0</f>
        <v>0</v>
      </c>
      <c r="O81" s="4"/>
      <c r="P81" s="5">
        <f t="shared" si="47"/>
        <v>0</v>
      </c>
      <c r="Q81" s="6" t="str">
        <f t="shared" si="48"/>
        <v/>
      </c>
      <c r="R81" s="4"/>
      <c r="S81" s="4"/>
      <c r="T81" s="5">
        <f t="shared" si="49"/>
        <v>0</v>
      </c>
      <c r="U81" s="6" t="str">
        <f t="shared" si="50"/>
        <v/>
      </c>
      <c r="V81" s="4"/>
      <c r="W81" s="4"/>
      <c r="X81" s="5">
        <f t="shared" si="51"/>
        <v>0</v>
      </c>
      <c r="Y81" s="6" t="str">
        <f t="shared" si="52"/>
        <v/>
      </c>
      <c r="Z81" s="4"/>
      <c r="AA81" s="4"/>
      <c r="AB81" s="5">
        <f t="shared" si="53"/>
        <v>0</v>
      </c>
      <c r="AC81" s="6" t="str">
        <f t="shared" si="54"/>
        <v/>
      </c>
      <c r="AD81" s="4"/>
      <c r="AE81" s="4"/>
      <c r="AF81" s="5">
        <f t="shared" si="55"/>
        <v>0</v>
      </c>
      <c r="AG81" s="6" t="str">
        <f t="shared" si="56"/>
        <v/>
      </c>
      <c r="AH81" s="5">
        <f t="shared" si="57"/>
        <v>0</v>
      </c>
      <c r="AI81" s="5">
        <f t="shared" si="58"/>
        <v>0</v>
      </c>
      <c r="AJ81" s="5">
        <f t="shared" si="59"/>
        <v>0</v>
      </c>
      <c r="AK81" s="6" t="str">
        <f t="shared" si="60"/>
        <v/>
      </c>
    </row>
    <row r="82" spans="1:37" x14ac:dyDescent="0.3">
      <c r="A82" s="3" t="s">
        <v>88</v>
      </c>
      <c r="B82" s="7">
        <f>(((B78)+(B79))+(B80))+(B81)</f>
        <v>123.74000000000001</v>
      </c>
      <c r="C82" s="7">
        <f>(((C78)+(C79))+(C80))+(C81)</f>
        <v>83</v>
      </c>
      <c r="D82" s="7">
        <f t="shared" si="41"/>
        <v>40.740000000000009</v>
      </c>
      <c r="E82" s="8">
        <f t="shared" si="42"/>
        <v>1.4908433734939761</v>
      </c>
      <c r="F82" s="7">
        <f>(((F78)+(F79))+(F80))+(F81)</f>
        <v>0</v>
      </c>
      <c r="G82" s="7">
        <f>(((G78)+(G79))+(G80))+(G81)</f>
        <v>83</v>
      </c>
      <c r="H82" s="7">
        <f t="shared" si="43"/>
        <v>-83</v>
      </c>
      <c r="I82" s="8">
        <f t="shared" si="44"/>
        <v>0</v>
      </c>
      <c r="J82" s="7">
        <f>(((J78)+(J79))+(J80))+(J81)</f>
        <v>0</v>
      </c>
      <c r="K82" s="7">
        <f>(((K78)+(K79))+(K80))+(K81)</f>
        <v>83</v>
      </c>
      <c r="L82" s="7">
        <f t="shared" si="45"/>
        <v>-83</v>
      </c>
      <c r="M82" s="8">
        <f t="shared" si="46"/>
        <v>0</v>
      </c>
      <c r="N82" s="7">
        <f>(((N78)+(N79))+(N80))+(N81)</f>
        <v>0</v>
      </c>
      <c r="O82" s="7">
        <f>(((O78)+(O79))+(O80))+(O81)</f>
        <v>83</v>
      </c>
      <c r="P82" s="7">
        <f t="shared" si="47"/>
        <v>-83</v>
      </c>
      <c r="Q82" s="8">
        <f t="shared" si="48"/>
        <v>0</v>
      </c>
      <c r="R82" s="7">
        <f>(((R78)+(R79))+(R80))+(R81)</f>
        <v>0</v>
      </c>
      <c r="S82" s="7">
        <f>(((S78)+(S79))+(S80))+(S81)</f>
        <v>83</v>
      </c>
      <c r="T82" s="7">
        <f t="shared" si="49"/>
        <v>-83</v>
      </c>
      <c r="U82" s="8">
        <f t="shared" si="50"/>
        <v>0</v>
      </c>
      <c r="V82" s="7">
        <f>(((V78)+(V79))+(V80))+(V81)</f>
        <v>0</v>
      </c>
      <c r="W82" s="7">
        <f>(((W78)+(W79))+(W80))+(W81)</f>
        <v>83</v>
      </c>
      <c r="X82" s="7">
        <f t="shared" si="51"/>
        <v>-83</v>
      </c>
      <c r="Y82" s="8">
        <f t="shared" si="52"/>
        <v>0</v>
      </c>
      <c r="Z82" s="7">
        <f>(((Z78)+(Z79))+(Z80))+(Z81)</f>
        <v>0</v>
      </c>
      <c r="AA82" s="7">
        <f>(((AA78)+(AA79))+(AA80))+(AA81)</f>
        <v>83</v>
      </c>
      <c r="AB82" s="7">
        <f t="shared" si="53"/>
        <v>-83</v>
      </c>
      <c r="AC82" s="8">
        <f t="shared" si="54"/>
        <v>0</v>
      </c>
      <c r="AD82" s="7">
        <f>(((AD78)+(AD79))+(AD80))+(AD81)</f>
        <v>0</v>
      </c>
      <c r="AE82" s="7">
        <f>(((AE78)+(AE79))+(AE80))+(AE81)</f>
        <v>83</v>
      </c>
      <c r="AF82" s="7">
        <f t="shared" si="55"/>
        <v>-83</v>
      </c>
      <c r="AG82" s="8">
        <f t="shared" si="56"/>
        <v>0</v>
      </c>
      <c r="AH82" s="7">
        <f t="shared" si="57"/>
        <v>123.74000000000001</v>
      </c>
      <c r="AI82" s="7">
        <f t="shared" si="58"/>
        <v>664</v>
      </c>
      <c r="AJ82" s="7">
        <f t="shared" si="59"/>
        <v>-540.26</v>
      </c>
      <c r="AK82" s="8">
        <f t="shared" si="60"/>
        <v>0.18635542168674701</v>
      </c>
    </row>
    <row r="83" spans="1:37" x14ac:dyDescent="0.3">
      <c r="A83" s="3" t="s">
        <v>89</v>
      </c>
      <c r="B83" s="4"/>
      <c r="C83" s="4"/>
      <c r="D83" s="5">
        <f t="shared" si="41"/>
        <v>0</v>
      </c>
      <c r="E83" s="6" t="str">
        <f t="shared" si="42"/>
        <v/>
      </c>
      <c r="F83" s="4"/>
      <c r="G83" s="4"/>
      <c r="H83" s="5">
        <f t="shared" si="43"/>
        <v>0</v>
      </c>
      <c r="I83" s="6" t="str">
        <f t="shared" si="44"/>
        <v/>
      </c>
      <c r="J83" s="4"/>
      <c r="K83" s="4"/>
      <c r="L83" s="5">
        <f t="shared" si="45"/>
        <v>0</v>
      </c>
      <c r="M83" s="6" t="str">
        <f t="shared" si="46"/>
        <v/>
      </c>
      <c r="N83" s="4"/>
      <c r="O83" s="4"/>
      <c r="P83" s="5">
        <f t="shared" si="47"/>
        <v>0</v>
      </c>
      <c r="Q83" s="6" t="str">
        <f t="shared" si="48"/>
        <v/>
      </c>
      <c r="R83" s="4"/>
      <c r="S83" s="4"/>
      <c r="T83" s="5">
        <f t="shared" si="49"/>
        <v>0</v>
      </c>
      <c r="U83" s="6" t="str">
        <f t="shared" si="50"/>
        <v/>
      </c>
      <c r="V83" s="4"/>
      <c r="W83" s="4"/>
      <c r="X83" s="5">
        <f t="shared" si="51"/>
        <v>0</v>
      </c>
      <c r="Y83" s="6" t="str">
        <f t="shared" si="52"/>
        <v/>
      </c>
      <c r="Z83" s="4"/>
      <c r="AA83" s="4"/>
      <c r="AB83" s="5">
        <f t="shared" si="53"/>
        <v>0</v>
      </c>
      <c r="AC83" s="6" t="str">
        <f t="shared" si="54"/>
        <v/>
      </c>
      <c r="AD83" s="4"/>
      <c r="AE83" s="4"/>
      <c r="AF83" s="5">
        <f t="shared" si="55"/>
        <v>0</v>
      </c>
      <c r="AG83" s="6" t="str">
        <f t="shared" si="56"/>
        <v/>
      </c>
      <c r="AH83" s="5">
        <f t="shared" si="57"/>
        <v>0</v>
      </c>
      <c r="AI83" s="5">
        <f t="shared" si="58"/>
        <v>0</v>
      </c>
      <c r="AJ83" s="5">
        <f t="shared" si="59"/>
        <v>0</v>
      </c>
      <c r="AK83" s="6" t="str">
        <f t="shared" si="60"/>
        <v/>
      </c>
    </row>
    <row r="84" spans="1:37" x14ac:dyDescent="0.3">
      <c r="A84" s="3" t="s">
        <v>90</v>
      </c>
      <c r="B84" s="4"/>
      <c r="C84" s="5">
        <f>80.6</f>
        <v>80.599999999999994</v>
      </c>
      <c r="D84" s="5">
        <f t="shared" si="41"/>
        <v>-80.599999999999994</v>
      </c>
      <c r="E84" s="6">
        <f t="shared" si="42"/>
        <v>0</v>
      </c>
      <c r="F84" s="4"/>
      <c r="G84" s="5">
        <f>80.6</f>
        <v>80.599999999999994</v>
      </c>
      <c r="H84" s="5">
        <f t="shared" si="43"/>
        <v>-80.599999999999994</v>
      </c>
      <c r="I84" s="6">
        <f t="shared" si="44"/>
        <v>0</v>
      </c>
      <c r="J84" s="4"/>
      <c r="K84" s="5">
        <f>80.6</f>
        <v>80.599999999999994</v>
      </c>
      <c r="L84" s="5">
        <f t="shared" si="45"/>
        <v>-80.599999999999994</v>
      </c>
      <c r="M84" s="6">
        <f t="shared" si="46"/>
        <v>0</v>
      </c>
      <c r="N84" s="4"/>
      <c r="O84" s="5">
        <f>80.6</f>
        <v>80.599999999999994</v>
      </c>
      <c r="P84" s="5">
        <f t="shared" si="47"/>
        <v>-80.599999999999994</v>
      </c>
      <c r="Q84" s="6">
        <f t="shared" si="48"/>
        <v>0</v>
      </c>
      <c r="R84" s="4"/>
      <c r="S84" s="5">
        <f>80.6</f>
        <v>80.599999999999994</v>
      </c>
      <c r="T84" s="5">
        <f t="shared" si="49"/>
        <v>-80.599999999999994</v>
      </c>
      <c r="U84" s="6">
        <f t="shared" si="50"/>
        <v>0</v>
      </c>
      <c r="V84" s="4"/>
      <c r="W84" s="5">
        <f>80.6</f>
        <v>80.599999999999994</v>
      </c>
      <c r="X84" s="5">
        <f t="shared" si="51"/>
        <v>-80.599999999999994</v>
      </c>
      <c r="Y84" s="6">
        <f t="shared" si="52"/>
        <v>0</v>
      </c>
      <c r="Z84" s="4"/>
      <c r="AA84" s="5">
        <f>80.6</f>
        <v>80.599999999999994</v>
      </c>
      <c r="AB84" s="5">
        <f t="shared" si="53"/>
        <v>-80.599999999999994</v>
      </c>
      <c r="AC84" s="6">
        <f t="shared" si="54"/>
        <v>0</v>
      </c>
      <c r="AD84" s="4"/>
      <c r="AE84" s="5">
        <f>80.6</f>
        <v>80.599999999999994</v>
      </c>
      <c r="AF84" s="5">
        <f t="shared" si="55"/>
        <v>-80.599999999999994</v>
      </c>
      <c r="AG84" s="6">
        <f t="shared" si="56"/>
        <v>0</v>
      </c>
      <c r="AH84" s="5">
        <f t="shared" si="57"/>
        <v>0</v>
      </c>
      <c r="AI84" s="5">
        <f t="shared" si="58"/>
        <v>644.80000000000007</v>
      </c>
      <c r="AJ84" s="5">
        <f t="shared" si="59"/>
        <v>-644.80000000000007</v>
      </c>
      <c r="AK84" s="6">
        <f t="shared" si="60"/>
        <v>0</v>
      </c>
    </row>
    <row r="85" spans="1:37" x14ac:dyDescent="0.3">
      <c r="A85" s="3" t="s">
        <v>91</v>
      </c>
      <c r="B85" s="4"/>
      <c r="C85" s="5">
        <f>43.4</f>
        <v>43.4</v>
      </c>
      <c r="D85" s="5">
        <f t="shared" si="41"/>
        <v>-43.4</v>
      </c>
      <c r="E85" s="6">
        <f t="shared" si="42"/>
        <v>0</v>
      </c>
      <c r="F85" s="4"/>
      <c r="G85" s="5">
        <f>43.4</f>
        <v>43.4</v>
      </c>
      <c r="H85" s="5">
        <f t="shared" si="43"/>
        <v>-43.4</v>
      </c>
      <c r="I85" s="6">
        <f t="shared" si="44"/>
        <v>0</v>
      </c>
      <c r="J85" s="4"/>
      <c r="K85" s="5">
        <f>43.4</f>
        <v>43.4</v>
      </c>
      <c r="L85" s="5">
        <f t="shared" si="45"/>
        <v>-43.4</v>
      </c>
      <c r="M85" s="6">
        <f t="shared" si="46"/>
        <v>0</v>
      </c>
      <c r="N85" s="4"/>
      <c r="O85" s="5">
        <f>43.4</f>
        <v>43.4</v>
      </c>
      <c r="P85" s="5">
        <f t="shared" si="47"/>
        <v>-43.4</v>
      </c>
      <c r="Q85" s="6">
        <f t="shared" si="48"/>
        <v>0</v>
      </c>
      <c r="R85" s="4"/>
      <c r="S85" s="5">
        <f>43.4</f>
        <v>43.4</v>
      </c>
      <c r="T85" s="5">
        <f t="shared" si="49"/>
        <v>-43.4</v>
      </c>
      <c r="U85" s="6">
        <f t="shared" si="50"/>
        <v>0</v>
      </c>
      <c r="V85" s="4"/>
      <c r="W85" s="5">
        <f>43.4</f>
        <v>43.4</v>
      </c>
      <c r="X85" s="5">
        <f t="shared" si="51"/>
        <v>-43.4</v>
      </c>
      <c r="Y85" s="6">
        <f t="shared" si="52"/>
        <v>0</v>
      </c>
      <c r="Z85" s="4"/>
      <c r="AA85" s="5">
        <f>43.4</f>
        <v>43.4</v>
      </c>
      <c r="AB85" s="5">
        <f t="shared" si="53"/>
        <v>-43.4</v>
      </c>
      <c r="AC85" s="6">
        <f t="shared" si="54"/>
        <v>0</v>
      </c>
      <c r="AD85" s="4"/>
      <c r="AE85" s="5">
        <f>43.4</f>
        <v>43.4</v>
      </c>
      <c r="AF85" s="5">
        <f t="shared" si="55"/>
        <v>-43.4</v>
      </c>
      <c r="AG85" s="6">
        <f t="shared" si="56"/>
        <v>0</v>
      </c>
      <c r="AH85" s="5">
        <f t="shared" si="57"/>
        <v>0</v>
      </c>
      <c r="AI85" s="5">
        <f t="shared" si="58"/>
        <v>347.19999999999993</v>
      </c>
      <c r="AJ85" s="5">
        <f t="shared" si="59"/>
        <v>-347.19999999999993</v>
      </c>
      <c r="AK85" s="6">
        <f t="shared" si="60"/>
        <v>0</v>
      </c>
    </row>
    <row r="86" spans="1:37" x14ac:dyDescent="0.3">
      <c r="A86" s="3" t="s">
        <v>92</v>
      </c>
      <c r="B86" s="7">
        <f>((B83)+(B84))+(B85)</f>
        <v>0</v>
      </c>
      <c r="C86" s="7">
        <f>((C83)+(C84))+(C85)</f>
        <v>124</v>
      </c>
      <c r="D86" s="7">
        <f t="shared" si="41"/>
        <v>-124</v>
      </c>
      <c r="E86" s="8">
        <f t="shared" si="42"/>
        <v>0</v>
      </c>
      <c r="F86" s="7">
        <f>((F83)+(F84))+(F85)</f>
        <v>0</v>
      </c>
      <c r="G86" s="7">
        <f>((G83)+(G84))+(G85)</f>
        <v>124</v>
      </c>
      <c r="H86" s="7">
        <f t="shared" si="43"/>
        <v>-124</v>
      </c>
      <c r="I86" s="8">
        <f t="shared" si="44"/>
        <v>0</v>
      </c>
      <c r="J86" s="7">
        <f>((J83)+(J84))+(J85)</f>
        <v>0</v>
      </c>
      <c r="K86" s="7">
        <f>((K83)+(K84))+(K85)</f>
        <v>124</v>
      </c>
      <c r="L86" s="7">
        <f t="shared" si="45"/>
        <v>-124</v>
      </c>
      <c r="M86" s="8">
        <f t="shared" si="46"/>
        <v>0</v>
      </c>
      <c r="N86" s="7">
        <f>((N83)+(N84))+(N85)</f>
        <v>0</v>
      </c>
      <c r="O86" s="7">
        <f>((O83)+(O84))+(O85)</f>
        <v>124</v>
      </c>
      <c r="P86" s="7">
        <f t="shared" si="47"/>
        <v>-124</v>
      </c>
      <c r="Q86" s="8">
        <f t="shared" si="48"/>
        <v>0</v>
      </c>
      <c r="R86" s="7">
        <f>((R83)+(R84))+(R85)</f>
        <v>0</v>
      </c>
      <c r="S86" s="7">
        <f>((S83)+(S84))+(S85)</f>
        <v>124</v>
      </c>
      <c r="T86" s="7">
        <f t="shared" si="49"/>
        <v>-124</v>
      </c>
      <c r="U86" s="8">
        <f t="shared" si="50"/>
        <v>0</v>
      </c>
      <c r="V86" s="7">
        <f>((V83)+(V84))+(V85)</f>
        <v>0</v>
      </c>
      <c r="W86" s="7">
        <f>((W83)+(W84))+(W85)</f>
        <v>124</v>
      </c>
      <c r="X86" s="7">
        <f t="shared" si="51"/>
        <v>-124</v>
      </c>
      <c r="Y86" s="8">
        <f t="shared" si="52"/>
        <v>0</v>
      </c>
      <c r="Z86" s="7">
        <f>((Z83)+(Z84))+(Z85)</f>
        <v>0</v>
      </c>
      <c r="AA86" s="7">
        <f>((AA83)+(AA84))+(AA85)</f>
        <v>124</v>
      </c>
      <c r="AB86" s="7">
        <f t="shared" si="53"/>
        <v>-124</v>
      </c>
      <c r="AC86" s="8">
        <f t="shared" si="54"/>
        <v>0</v>
      </c>
      <c r="AD86" s="7">
        <f>((AD83)+(AD84))+(AD85)</f>
        <v>0</v>
      </c>
      <c r="AE86" s="7">
        <f>((AE83)+(AE84))+(AE85)</f>
        <v>124</v>
      </c>
      <c r="AF86" s="7">
        <f t="shared" si="55"/>
        <v>-124</v>
      </c>
      <c r="AG86" s="8">
        <f t="shared" si="56"/>
        <v>0</v>
      </c>
      <c r="AH86" s="7">
        <f t="shared" si="57"/>
        <v>0</v>
      </c>
      <c r="AI86" s="7">
        <f t="shared" si="58"/>
        <v>992</v>
      </c>
      <c r="AJ86" s="7">
        <f t="shared" si="59"/>
        <v>-992</v>
      </c>
      <c r="AK86" s="8">
        <f t="shared" si="60"/>
        <v>0</v>
      </c>
    </row>
    <row r="87" spans="1:37" x14ac:dyDescent="0.3">
      <c r="A87" s="3" t="s">
        <v>93</v>
      </c>
      <c r="B87" s="4"/>
      <c r="C87" s="4"/>
      <c r="D87" s="5">
        <f t="shared" si="41"/>
        <v>0</v>
      </c>
      <c r="E87" s="6" t="str">
        <f t="shared" si="42"/>
        <v/>
      </c>
      <c r="F87" s="4"/>
      <c r="G87" s="4"/>
      <c r="H87" s="5">
        <f t="shared" si="43"/>
        <v>0</v>
      </c>
      <c r="I87" s="6" t="str">
        <f t="shared" si="44"/>
        <v/>
      </c>
      <c r="J87" s="4"/>
      <c r="K87" s="4"/>
      <c r="L87" s="5">
        <f t="shared" si="45"/>
        <v>0</v>
      </c>
      <c r="M87" s="6" t="str">
        <f t="shared" si="46"/>
        <v/>
      </c>
      <c r="N87" s="4"/>
      <c r="O87" s="4"/>
      <c r="P87" s="5">
        <f t="shared" si="47"/>
        <v>0</v>
      </c>
      <c r="Q87" s="6" t="str">
        <f t="shared" si="48"/>
        <v/>
      </c>
      <c r="R87" s="4"/>
      <c r="S87" s="4"/>
      <c r="T87" s="5">
        <f t="shared" si="49"/>
        <v>0</v>
      </c>
      <c r="U87" s="6" t="str">
        <f t="shared" si="50"/>
        <v/>
      </c>
      <c r="V87" s="4"/>
      <c r="W87" s="4"/>
      <c r="X87" s="5">
        <f t="shared" si="51"/>
        <v>0</v>
      </c>
      <c r="Y87" s="6" t="str">
        <f t="shared" si="52"/>
        <v/>
      </c>
      <c r="Z87" s="4"/>
      <c r="AA87" s="4"/>
      <c r="AB87" s="5">
        <f t="shared" si="53"/>
        <v>0</v>
      </c>
      <c r="AC87" s="6" t="str">
        <f t="shared" si="54"/>
        <v/>
      </c>
      <c r="AD87" s="4"/>
      <c r="AE87" s="4"/>
      <c r="AF87" s="5">
        <f t="shared" si="55"/>
        <v>0</v>
      </c>
      <c r="AG87" s="6" t="str">
        <f t="shared" si="56"/>
        <v/>
      </c>
      <c r="AH87" s="5">
        <f t="shared" si="57"/>
        <v>0</v>
      </c>
      <c r="AI87" s="5">
        <f t="shared" si="58"/>
        <v>0</v>
      </c>
      <c r="AJ87" s="5">
        <f t="shared" si="59"/>
        <v>0</v>
      </c>
      <c r="AK87" s="6" t="str">
        <f t="shared" si="60"/>
        <v/>
      </c>
    </row>
    <row r="88" spans="1:37" x14ac:dyDescent="0.3">
      <c r="A88" s="3" t="s">
        <v>94</v>
      </c>
      <c r="B88" s="5">
        <f>938.5</f>
        <v>938.5</v>
      </c>
      <c r="C88" s="5">
        <f>920.83</f>
        <v>920.83</v>
      </c>
      <c r="D88" s="5">
        <f t="shared" si="41"/>
        <v>17.669999999999959</v>
      </c>
      <c r="E88" s="6">
        <f t="shared" si="42"/>
        <v>1.0191892097346957</v>
      </c>
      <c r="F88" s="5">
        <f>908.22</f>
        <v>908.22</v>
      </c>
      <c r="G88" s="5">
        <f>920.83</f>
        <v>920.83</v>
      </c>
      <c r="H88" s="5">
        <f t="shared" si="43"/>
        <v>-12.610000000000014</v>
      </c>
      <c r="I88" s="6">
        <f t="shared" si="44"/>
        <v>0.98630583278129513</v>
      </c>
      <c r="J88" s="5">
        <f>938.5</f>
        <v>938.5</v>
      </c>
      <c r="K88" s="5">
        <f>920.83</f>
        <v>920.83</v>
      </c>
      <c r="L88" s="5">
        <f t="shared" si="45"/>
        <v>17.669999999999959</v>
      </c>
      <c r="M88" s="6">
        <f t="shared" si="46"/>
        <v>1.0191892097346957</v>
      </c>
      <c r="N88" s="5">
        <f>938.5</f>
        <v>938.5</v>
      </c>
      <c r="O88" s="5">
        <f>920.83</f>
        <v>920.83</v>
      </c>
      <c r="P88" s="5">
        <f t="shared" si="47"/>
        <v>17.669999999999959</v>
      </c>
      <c r="Q88" s="6">
        <f t="shared" si="48"/>
        <v>1.0191892097346957</v>
      </c>
      <c r="R88" s="5">
        <f>847.67</f>
        <v>847.67</v>
      </c>
      <c r="S88" s="5">
        <f>920.83</f>
        <v>920.83</v>
      </c>
      <c r="T88" s="5">
        <f t="shared" si="49"/>
        <v>-73.160000000000082</v>
      </c>
      <c r="U88" s="6">
        <f t="shared" si="50"/>
        <v>0.92054993864231172</v>
      </c>
      <c r="V88" s="5">
        <f>938.5</f>
        <v>938.5</v>
      </c>
      <c r="W88" s="5">
        <f>920.83</f>
        <v>920.83</v>
      </c>
      <c r="X88" s="5">
        <f t="shared" si="51"/>
        <v>17.669999999999959</v>
      </c>
      <c r="Y88" s="6">
        <f t="shared" si="52"/>
        <v>1.0191892097346957</v>
      </c>
      <c r="Z88" s="5">
        <f>908.22</f>
        <v>908.22</v>
      </c>
      <c r="AA88" s="5">
        <f>920.83</f>
        <v>920.83</v>
      </c>
      <c r="AB88" s="5">
        <f t="shared" si="53"/>
        <v>-12.610000000000014</v>
      </c>
      <c r="AC88" s="6">
        <f t="shared" si="54"/>
        <v>0.98630583278129513</v>
      </c>
      <c r="AD88" s="5">
        <f>908.22</f>
        <v>908.22</v>
      </c>
      <c r="AE88" s="5">
        <f>920.83</f>
        <v>920.83</v>
      </c>
      <c r="AF88" s="5">
        <f t="shared" si="55"/>
        <v>-12.610000000000014</v>
      </c>
      <c r="AG88" s="6">
        <f t="shared" si="56"/>
        <v>0.98630583278129513</v>
      </c>
      <c r="AH88" s="5">
        <f t="shared" si="57"/>
        <v>7326.3300000000008</v>
      </c>
      <c r="AI88" s="5">
        <f t="shared" si="58"/>
        <v>7366.64</v>
      </c>
      <c r="AJ88" s="5">
        <f t="shared" si="59"/>
        <v>-40.309999999999491</v>
      </c>
      <c r="AK88" s="6">
        <f t="shared" si="60"/>
        <v>0.99452803449062266</v>
      </c>
    </row>
    <row r="89" spans="1:37" x14ac:dyDescent="0.3">
      <c r="A89" s="3" t="s">
        <v>95</v>
      </c>
      <c r="B89" s="5">
        <f>505.34</f>
        <v>505.34</v>
      </c>
      <c r="C89" s="5">
        <f>495.83</f>
        <v>495.83</v>
      </c>
      <c r="D89" s="5">
        <f t="shared" si="41"/>
        <v>9.5099999999999909</v>
      </c>
      <c r="E89" s="6">
        <f t="shared" si="42"/>
        <v>1.0191799608736865</v>
      </c>
      <c r="F89" s="5">
        <f>489.04</f>
        <v>489.04</v>
      </c>
      <c r="G89" s="5">
        <f>495.83</f>
        <v>495.83</v>
      </c>
      <c r="H89" s="5">
        <f t="shared" si="43"/>
        <v>-6.7899999999999636</v>
      </c>
      <c r="I89" s="6">
        <f t="shared" si="44"/>
        <v>0.98630579029102727</v>
      </c>
      <c r="J89" s="5">
        <f>505.34</f>
        <v>505.34</v>
      </c>
      <c r="K89" s="5">
        <f>495.83</f>
        <v>495.83</v>
      </c>
      <c r="L89" s="5">
        <f t="shared" si="45"/>
        <v>9.5099999999999909</v>
      </c>
      <c r="M89" s="6">
        <f t="shared" si="46"/>
        <v>1.0191799608736865</v>
      </c>
      <c r="N89" s="5">
        <f>505.34</f>
        <v>505.34</v>
      </c>
      <c r="O89" s="5">
        <f>495.83</f>
        <v>495.83</v>
      </c>
      <c r="P89" s="5">
        <f t="shared" si="47"/>
        <v>9.5099999999999909</v>
      </c>
      <c r="Q89" s="6">
        <f t="shared" si="48"/>
        <v>1.0191799608736865</v>
      </c>
      <c r="R89" s="5">
        <f>456.44</f>
        <v>456.44</v>
      </c>
      <c r="S89" s="5">
        <f>495.83</f>
        <v>495.83</v>
      </c>
      <c r="T89" s="5">
        <f t="shared" si="49"/>
        <v>-39.389999999999986</v>
      </c>
      <c r="U89" s="6">
        <f t="shared" si="50"/>
        <v>0.92055744912570847</v>
      </c>
      <c r="V89" s="5">
        <f>505.34</f>
        <v>505.34</v>
      </c>
      <c r="W89" s="5">
        <f>495.83</f>
        <v>495.83</v>
      </c>
      <c r="X89" s="5">
        <f t="shared" si="51"/>
        <v>9.5099999999999909</v>
      </c>
      <c r="Y89" s="6">
        <f t="shared" si="52"/>
        <v>1.0191799608736865</v>
      </c>
      <c r="Z89" s="5">
        <f>489.04</f>
        <v>489.04</v>
      </c>
      <c r="AA89" s="5">
        <f>495.83</f>
        <v>495.83</v>
      </c>
      <c r="AB89" s="5">
        <f t="shared" si="53"/>
        <v>-6.7899999999999636</v>
      </c>
      <c r="AC89" s="6">
        <f t="shared" si="54"/>
        <v>0.98630579029102727</v>
      </c>
      <c r="AD89" s="5">
        <f>489.04</f>
        <v>489.04</v>
      </c>
      <c r="AE89" s="5">
        <f>495.83</f>
        <v>495.83</v>
      </c>
      <c r="AF89" s="5">
        <f t="shared" si="55"/>
        <v>-6.7899999999999636</v>
      </c>
      <c r="AG89" s="6">
        <f t="shared" si="56"/>
        <v>0.98630579029102727</v>
      </c>
      <c r="AH89" s="5">
        <f t="shared" si="57"/>
        <v>3944.92</v>
      </c>
      <c r="AI89" s="5">
        <f t="shared" si="58"/>
        <v>3966.64</v>
      </c>
      <c r="AJ89" s="5">
        <f t="shared" si="59"/>
        <v>-21.7199999999998</v>
      </c>
      <c r="AK89" s="6">
        <f t="shared" si="60"/>
        <v>0.99452433293669207</v>
      </c>
    </row>
    <row r="90" spans="1:37" x14ac:dyDescent="0.3">
      <c r="A90" s="3" t="s">
        <v>96</v>
      </c>
      <c r="B90" s="5">
        <f>0</f>
        <v>0</v>
      </c>
      <c r="C90" s="4"/>
      <c r="D90" s="5">
        <f t="shared" si="41"/>
        <v>0</v>
      </c>
      <c r="E90" s="6" t="str">
        <f t="shared" si="42"/>
        <v/>
      </c>
      <c r="F90" s="5">
        <f>0</f>
        <v>0</v>
      </c>
      <c r="G90" s="4"/>
      <c r="H90" s="5">
        <f t="shared" si="43"/>
        <v>0</v>
      </c>
      <c r="I90" s="6" t="str">
        <f t="shared" si="44"/>
        <v/>
      </c>
      <c r="J90" s="5">
        <f>0</f>
        <v>0</v>
      </c>
      <c r="K90" s="4"/>
      <c r="L90" s="5">
        <f t="shared" si="45"/>
        <v>0</v>
      </c>
      <c r="M90" s="6" t="str">
        <f t="shared" si="46"/>
        <v/>
      </c>
      <c r="N90" s="5">
        <f>0</f>
        <v>0</v>
      </c>
      <c r="O90" s="4"/>
      <c r="P90" s="5">
        <f t="shared" si="47"/>
        <v>0</v>
      </c>
      <c r="Q90" s="6" t="str">
        <f t="shared" si="48"/>
        <v/>
      </c>
      <c r="R90" s="5">
        <f>0</f>
        <v>0</v>
      </c>
      <c r="S90" s="4"/>
      <c r="T90" s="5">
        <f t="shared" si="49"/>
        <v>0</v>
      </c>
      <c r="U90" s="6" t="str">
        <f t="shared" si="50"/>
        <v/>
      </c>
      <c r="V90" s="5">
        <f>0</f>
        <v>0</v>
      </c>
      <c r="W90" s="4"/>
      <c r="X90" s="5">
        <f t="shared" si="51"/>
        <v>0</v>
      </c>
      <c r="Y90" s="6" t="str">
        <f t="shared" si="52"/>
        <v/>
      </c>
      <c r="Z90" s="5">
        <f>0</f>
        <v>0</v>
      </c>
      <c r="AA90" s="4"/>
      <c r="AB90" s="5">
        <f t="shared" si="53"/>
        <v>0</v>
      </c>
      <c r="AC90" s="6" t="str">
        <f t="shared" si="54"/>
        <v/>
      </c>
      <c r="AD90" s="5">
        <f>0</f>
        <v>0</v>
      </c>
      <c r="AE90" s="4"/>
      <c r="AF90" s="5">
        <f t="shared" si="55"/>
        <v>0</v>
      </c>
      <c r="AG90" s="6" t="str">
        <f t="shared" si="56"/>
        <v/>
      </c>
      <c r="AH90" s="5">
        <f t="shared" si="57"/>
        <v>0</v>
      </c>
      <c r="AI90" s="5">
        <f t="shared" si="58"/>
        <v>0</v>
      </c>
      <c r="AJ90" s="5">
        <f t="shared" si="59"/>
        <v>0</v>
      </c>
      <c r="AK90" s="6" t="str">
        <f t="shared" si="60"/>
        <v/>
      </c>
    </row>
    <row r="91" spans="1:37" x14ac:dyDescent="0.3">
      <c r="A91" s="3" t="s">
        <v>97</v>
      </c>
      <c r="B91" s="7">
        <f>(((B87)+(B88))+(B89))+(B90)</f>
        <v>1443.84</v>
      </c>
      <c r="C91" s="7">
        <f>(((C87)+(C88))+(C89))+(C90)</f>
        <v>1416.66</v>
      </c>
      <c r="D91" s="7">
        <f t="shared" si="41"/>
        <v>27.179999999999836</v>
      </c>
      <c r="E91" s="8">
        <f t="shared" si="42"/>
        <v>1.0191859726398711</v>
      </c>
      <c r="F91" s="7">
        <f>(((F87)+(F88))+(F89))+(F90)</f>
        <v>1397.26</v>
      </c>
      <c r="G91" s="7">
        <f>(((G87)+(G88))+(G89))+(G90)</f>
        <v>1416.66</v>
      </c>
      <c r="H91" s="7">
        <f t="shared" si="43"/>
        <v>-19.400000000000091</v>
      </c>
      <c r="I91" s="8">
        <f t="shared" si="44"/>
        <v>0.98630581790973126</v>
      </c>
      <c r="J91" s="7">
        <f>(((J87)+(J88))+(J89))+(J90)</f>
        <v>1443.84</v>
      </c>
      <c r="K91" s="7">
        <f>(((K87)+(K88))+(K89))+(K90)</f>
        <v>1416.66</v>
      </c>
      <c r="L91" s="7">
        <f t="shared" si="45"/>
        <v>27.179999999999836</v>
      </c>
      <c r="M91" s="8">
        <f t="shared" si="46"/>
        <v>1.0191859726398711</v>
      </c>
      <c r="N91" s="7">
        <f>(((N87)+(N88))+(N89))+(N90)</f>
        <v>1443.84</v>
      </c>
      <c r="O91" s="7">
        <f>(((O87)+(O88))+(O89))+(O90)</f>
        <v>1416.66</v>
      </c>
      <c r="P91" s="7">
        <f t="shared" si="47"/>
        <v>27.179999999999836</v>
      </c>
      <c r="Q91" s="8">
        <f t="shared" si="48"/>
        <v>1.0191859726398711</v>
      </c>
      <c r="R91" s="7">
        <f>(((R87)+(R88))+(R89))+(R90)</f>
        <v>1304.1099999999999</v>
      </c>
      <c r="S91" s="7">
        <f>(((S87)+(S88))+(S89))+(S90)</f>
        <v>1416.66</v>
      </c>
      <c r="T91" s="7">
        <f t="shared" si="49"/>
        <v>-112.55000000000018</v>
      </c>
      <c r="U91" s="8">
        <f t="shared" si="50"/>
        <v>0.92055256730619894</v>
      </c>
      <c r="V91" s="7">
        <f>(((V87)+(V88))+(V89))+(V90)</f>
        <v>1443.84</v>
      </c>
      <c r="W91" s="7">
        <f>(((W87)+(W88))+(W89))+(W90)</f>
        <v>1416.66</v>
      </c>
      <c r="X91" s="7">
        <f t="shared" si="51"/>
        <v>27.179999999999836</v>
      </c>
      <c r="Y91" s="8">
        <f t="shared" si="52"/>
        <v>1.0191859726398711</v>
      </c>
      <c r="Z91" s="7">
        <f>(((Z87)+(Z88))+(Z89))+(Z90)</f>
        <v>1397.26</v>
      </c>
      <c r="AA91" s="7">
        <f>(((AA87)+(AA88))+(AA89))+(AA90)</f>
        <v>1416.66</v>
      </c>
      <c r="AB91" s="7">
        <f t="shared" si="53"/>
        <v>-19.400000000000091</v>
      </c>
      <c r="AC91" s="8">
        <f t="shared" si="54"/>
        <v>0.98630581790973126</v>
      </c>
      <c r="AD91" s="7">
        <f>(((AD87)+(AD88))+(AD89))+(AD90)</f>
        <v>1397.26</v>
      </c>
      <c r="AE91" s="7">
        <f>(((AE87)+(AE88))+(AE89))+(AE90)</f>
        <v>1416.66</v>
      </c>
      <c r="AF91" s="7">
        <f t="shared" si="55"/>
        <v>-19.400000000000091</v>
      </c>
      <c r="AG91" s="8">
        <f t="shared" si="56"/>
        <v>0.98630581790973126</v>
      </c>
      <c r="AH91" s="7">
        <f t="shared" si="57"/>
        <v>11271.25</v>
      </c>
      <c r="AI91" s="7">
        <f t="shared" si="58"/>
        <v>11333.28</v>
      </c>
      <c r="AJ91" s="7">
        <f t="shared" si="59"/>
        <v>-62.030000000000655</v>
      </c>
      <c r="AK91" s="8">
        <f t="shared" si="60"/>
        <v>0.99452673894935972</v>
      </c>
    </row>
    <row r="92" spans="1:37" x14ac:dyDescent="0.3">
      <c r="A92" s="3" t="s">
        <v>98</v>
      </c>
      <c r="B92" s="4"/>
      <c r="C92" s="4"/>
      <c r="D92" s="5">
        <f t="shared" si="41"/>
        <v>0</v>
      </c>
      <c r="E92" s="6" t="str">
        <f t="shared" si="42"/>
        <v/>
      </c>
      <c r="F92" s="4"/>
      <c r="G92" s="4"/>
      <c r="H92" s="5">
        <f t="shared" si="43"/>
        <v>0</v>
      </c>
      <c r="I92" s="6" t="str">
        <f t="shared" si="44"/>
        <v/>
      </c>
      <c r="J92" s="4"/>
      <c r="K92" s="4"/>
      <c r="L92" s="5">
        <f t="shared" si="45"/>
        <v>0</v>
      </c>
      <c r="M92" s="6" t="str">
        <f t="shared" si="46"/>
        <v/>
      </c>
      <c r="N92" s="4"/>
      <c r="O92" s="4"/>
      <c r="P92" s="5">
        <f t="shared" si="47"/>
        <v>0</v>
      </c>
      <c r="Q92" s="6" t="str">
        <f t="shared" si="48"/>
        <v/>
      </c>
      <c r="R92" s="4"/>
      <c r="S92" s="4"/>
      <c r="T92" s="5">
        <f t="shared" si="49"/>
        <v>0</v>
      </c>
      <c r="U92" s="6" t="str">
        <f t="shared" si="50"/>
        <v/>
      </c>
      <c r="V92" s="4"/>
      <c r="W92" s="4"/>
      <c r="X92" s="5">
        <f t="shared" si="51"/>
        <v>0</v>
      </c>
      <c r="Y92" s="6" t="str">
        <f t="shared" si="52"/>
        <v/>
      </c>
      <c r="Z92" s="4"/>
      <c r="AA92" s="4"/>
      <c r="AB92" s="5">
        <f t="shared" si="53"/>
        <v>0</v>
      </c>
      <c r="AC92" s="6" t="str">
        <f t="shared" si="54"/>
        <v/>
      </c>
      <c r="AD92" s="4"/>
      <c r="AE92" s="4"/>
      <c r="AF92" s="5">
        <f t="shared" si="55"/>
        <v>0</v>
      </c>
      <c r="AG92" s="6" t="str">
        <f t="shared" si="56"/>
        <v/>
      </c>
      <c r="AH92" s="5">
        <f t="shared" si="57"/>
        <v>0</v>
      </c>
      <c r="AI92" s="5">
        <f t="shared" si="58"/>
        <v>0</v>
      </c>
      <c r="AJ92" s="5">
        <f t="shared" si="59"/>
        <v>0</v>
      </c>
      <c r="AK92" s="6" t="str">
        <f t="shared" si="60"/>
        <v/>
      </c>
    </row>
    <row r="93" spans="1:37" x14ac:dyDescent="0.3">
      <c r="A93" s="3" t="s">
        <v>99</v>
      </c>
      <c r="B93" s="5">
        <f>613.44</f>
        <v>613.44000000000005</v>
      </c>
      <c r="C93" s="5">
        <f>325</f>
        <v>325</v>
      </c>
      <c r="D93" s="5">
        <f t="shared" si="41"/>
        <v>288.44000000000005</v>
      </c>
      <c r="E93" s="6">
        <f t="shared" si="42"/>
        <v>1.8875076923076926</v>
      </c>
      <c r="F93" s="5">
        <f>247</f>
        <v>247</v>
      </c>
      <c r="G93" s="5">
        <f>325</f>
        <v>325</v>
      </c>
      <c r="H93" s="5">
        <f t="shared" si="43"/>
        <v>-78</v>
      </c>
      <c r="I93" s="6">
        <f t="shared" si="44"/>
        <v>0.76</v>
      </c>
      <c r="J93" s="5">
        <f>97.5</f>
        <v>97.5</v>
      </c>
      <c r="K93" s="5">
        <f>325</f>
        <v>325</v>
      </c>
      <c r="L93" s="5">
        <f t="shared" si="45"/>
        <v>-227.5</v>
      </c>
      <c r="M93" s="6">
        <f t="shared" si="46"/>
        <v>0.3</v>
      </c>
      <c r="N93" s="5">
        <f>487.5</f>
        <v>487.5</v>
      </c>
      <c r="O93" s="5">
        <f>325</f>
        <v>325</v>
      </c>
      <c r="P93" s="5">
        <f t="shared" si="47"/>
        <v>162.5</v>
      </c>
      <c r="Q93" s="6">
        <f t="shared" si="48"/>
        <v>1.5</v>
      </c>
      <c r="R93" s="5">
        <f>71.5</f>
        <v>71.5</v>
      </c>
      <c r="S93" s="5">
        <f>325</f>
        <v>325</v>
      </c>
      <c r="T93" s="5">
        <f t="shared" si="49"/>
        <v>-253.5</v>
      </c>
      <c r="U93" s="6">
        <f t="shared" si="50"/>
        <v>0.22</v>
      </c>
      <c r="V93" s="5">
        <f>868.56</f>
        <v>868.56</v>
      </c>
      <c r="W93" s="5">
        <f>325</f>
        <v>325</v>
      </c>
      <c r="X93" s="5">
        <f t="shared" si="51"/>
        <v>543.55999999999995</v>
      </c>
      <c r="Y93" s="6">
        <f t="shared" si="52"/>
        <v>2.6724923076923077</v>
      </c>
      <c r="Z93" s="5">
        <f>0</f>
        <v>0</v>
      </c>
      <c r="AA93" s="5">
        <f>325</f>
        <v>325</v>
      </c>
      <c r="AB93" s="5">
        <f t="shared" si="53"/>
        <v>-325</v>
      </c>
      <c r="AC93" s="6">
        <f t="shared" si="54"/>
        <v>0</v>
      </c>
      <c r="AD93" s="5">
        <f>467.19</f>
        <v>467.19</v>
      </c>
      <c r="AE93" s="5">
        <f>325</f>
        <v>325</v>
      </c>
      <c r="AF93" s="5">
        <f t="shared" si="55"/>
        <v>142.19</v>
      </c>
      <c r="AG93" s="6">
        <f t="shared" si="56"/>
        <v>1.4375076923076924</v>
      </c>
      <c r="AH93" s="5">
        <f t="shared" si="57"/>
        <v>2852.69</v>
      </c>
      <c r="AI93" s="5">
        <f t="shared" si="58"/>
        <v>2600</v>
      </c>
      <c r="AJ93" s="5">
        <f t="shared" si="59"/>
        <v>252.69000000000005</v>
      </c>
      <c r="AK93" s="6">
        <f t="shared" si="60"/>
        <v>1.0971884615384615</v>
      </c>
    </row>
    <row r="94" spans="1:37" x14ac:dyDescent="0.3">
      <c r="A94" s="3" t="s">
        <v>100</v>
      </c>
      <c r="B94" s="5">
        <f>330.31</f>
        <v>330.31</v>
      </c>
      <c r="C94" s="5">
        <f>175</f>
        <v>175</v>
      </c>
      <c r="D94" s="5">
        <f t="shared" si="41"/>
        <v>155.31</v>
      </c>
      <c r="E94" s="6">
        <f t="shared" si="42"/>
        <v>1.8874857142857142</v>
      </c>
      <c r="F94" s="5">
        <f>133</f>
        <v>133</v>
      </c>
      <c r="G94" s="5">
        <f>175</f>
        <v>175</v>
      </c>
      <c r="H94" s="5">
        <f t="shared" si="43"/>
        <v>-42</v>
      </c>
      <c r="I94" s="6">
        <f t="shared" si="44"/>
        <v>0.76</v>
      </c>
      <c r="J94" s="5">
        <f>52.5</f>
        <v>52.5</v>
      </c>
      <c r="K94" s="5">
        <f>175</f>
        <v>175</v>
      </c>
      <c r="L94" s="5">
        <f t="shared" si="45"/>
        <v>-122.5</v>
      </c>
      <c r="M94" s="6">
        <f t="shared" si="46"/>
        <v>0.3</v>
      </c>
      <c r="N94" s="5">
        <f>262.5</f>
        <v>262.5</v>
      </c>
      <c r="O94" s="5">
        <f>175</f>
        <v>175</v>
      </c>
      <c r="P94" s="5">
        <f t="shared" si="47"/>
        <v>87.5</v>
      </c>
      <c r="Q94" s="6">
        <f t="shared" si="48"/>
        <v>1.5</v>
      </c>
      <c r="R94" s="5">
        <f>38.5</f>
        <v>38.5</v>
      </c>
      <c r="S94" s="5">
        <f>175</f>
        <v>175</v>
      </c>
      <c r="T94" s="5">
        <f t="shared" si="49"/>
        <v>-136.5</v>
      </c>
      <c r="U94" s="6">
        <f t="shared" si="50"/>
        <v>0.22</v>
      </c>
      <c r="V94" s="5">
        <f>467.69</f>
        <v>467.69</v>
      </c>
      <c r="W94" s="5">
        <f>175</f>
        <v>175</v>
      </c>
      <c r="X94" s="5">
        <f t="shared" si="51"/>
        <v>292.69</v>
      </c>
      <c r="Y94" s="6">
        <f t="shared" si="52"/>
        <v>2.6725142857142856</v>
      </c>
      <c r="Z94" s="5">
        <f>0</f>
        <v>0</v>
      </c>
      <c r="AA94" s="5">
        <f>175</f>
        <v>175</v>
      </c>
      <c r="AB94" s="5">
        <f t="shared" si="53"/>
        <v>-175</v>
      </c>
      <c r="AC94" s="6">
        <f t="shared" si="54"/>
        <v>0</v>
      </c>
      <c r="AD94" s="5">
        <f>251.56</f>
        <v>251.56</v>
      </c>
      <c r="AE94" s="5">
        <f>175</f>
        <v>175</v>
      </c>
      <c r="AF94" s="5">
        <f t="shared" si="55"/>
        <v>76.56</v>
      </c>
      <c r="AG94" s="6">
        <f t="shared" si="56"/>
        <v>1.4374857142857143</v>
      </c>
      <c r="AH94" s="5">
        <f t="shared" si="57"/>
        <v>1536.06</v>
      </c>
      <c r="AI94" s="5">
        <f t="shared" si="58"/>
        <v>1400</v>
      </c>
      <c r="AJ94" s="5">
        <f t="shared" si="59"/>
        <v>136.05999999999995</v>
      </c>
      <c r="AK94" s="6">
        <f t="shared" si="60"/>
        <v>1.0971857142857142</v>
      </c>
    </row>
    <row r="95" spans="1:37" x14ac:dyDescent="0.3">
      <c r="A95" s="3" t="s">
        <v>101</v>
      </c>
      <c r="B95" s="5">
        <f>0</f>
        <v>0</v>
      </c>
      <c r="C95" s="4"/>
      <c r="D95" s="5">
        <f t="shared" si="41"/>
        <v>0</v>
      </c>
      <c r="E95" s="6" t="str">
        <f t="shared" si="42"/>
        <v/>
      </c>
      <c r="F95" s="5">
        <f>0</f>
        <v>0</v>
      </c>
      <c r="G95" s="4"/>
      <c r="H95" s="5">
        <f t="shared" si="43"/>
        <v>0</v>
      </c>
      <c r="I95" s="6" t="str">
        <f t="shared" si="44"/>
        <v/>
      </c>
      <c r="J95" s="5">
        <f>0</f>
        <v>0</v>
      </c>
      <c r="K95" s="4"/>
      <c r="L95" s="5">
        <f t="shared" si="45"/>
        <v>0</v>
      </c>
      <c r="M95" s="6" t="str">
        <f t="shared" si="46"/>
        <v/>
      </c>
      <c r="N95" s="5">
        <f>0</f>
        <v>0</v>
      </c>
      <c r="O95" s="4"/>
      <c r="P95" s="5">
        <f t="shared" si="47"/>
        <v>0</v>
      </c>
      <c r="Q95" s="6" t="str">
        <f t="shared" si="48"/>
        <v/>
      </c>
      <c r="R95" s="5">
        <f>0</f>
        <v>0</v>
      </c>
      <c r="S95" s="4"/>
      <c r="T95" s="5">
        <f t="shared" si="49"/>
        <v>0</v>
      </c>
      <c r="U95" s="6" t="str">
        <f t="shared" si="50"/>
        <v/>
      </c>
      <c r="V95" s="5">
        <f>0</f>
        <v>0</v>
      </c>
      <c r="W95" s="4"/>
      <c r="X95" s="5">
        <f t="shared" si="51"/>
        <v>0</v>
      </c>
      <c r="Y95" s="6" t="str">
        <f t="shared" si="52"/>
        <v/>
      </c>
      <c r="Z95" s="5">
        <f>0</f>
        <v>0</v>
      </c>
      <c r="AA95" s="4"/>
      <c r="AB95" s="5">
        <f t="shared" si="53"/>
        <v>0</v>
      </c>
      <c r="AC95" s="6" t="str">
        <f t="shared" si="54"/>
        <v/>
      </c>
      <c r="AD95" s="5">
        <f>0</f>
        <v>0</v>
      </c>
      <c r="AE95" s="4"/>
      <c r="AF95" s="5">
        <f t="shared" si="55"/>
        <v>0</v>
      </c>
      <c r="AG95" s="6" t="str">
        <f t="shared" si="56"/>
        <v/>
      </c>
      <c r="AH95" s="5">
        <f t="shared" si="57"/>
        <v>0</v>
      </c>
      <c r="AI95" s="5">
        <f t="shared" si="58"/>
        <v>0</v>
      </c>
      <c r="AJ95" s="5">
        <f t="shared" si="59"/>
        <v>0</v>
      </c>
      <c r="AK95" s="6" t="str">
        <f t="shared" si="60"/>
        <v/>
      </c>
    </row>
    <row r="96" spans="1:37" x14ac:dyDescent="0.3">
      <c r="A96" s="3" t="s">
        <v>102</v>
      </c>
      <c r="B96" s="7">
        <f>(((B92)+(B93))+(B94))+(B95)</f>
        <v>943.75</v>
      </c>
      <c r="C96" s="7">
        <f>(((C92)+(C93))+(C94))+(C95)</f>
        <v>500</v>
      </c>
      <c r="D96" s="7">
        <f t="shared" si="41"/>
        <v>443.75</v>
      </c>
      <c r="E96" s="8">
        <f t="shared" si="42"/>
        <v>1.8875</v>
      </c>
      <c r="F96" s="7">
        <f>(((F92)+(F93))+(F94))+(F95)</f>
        <v>380</v>
      </c>
      <c r="G96" s="7">
        <f>(((G92)+(G93))+(G94))+(G95)</f>
        <v>500</v>
      </c>
      <c r="H96" s="7">
        <f t="shared" si="43"/>
        <v>-120</v>
      </c>
      <c r="I96" s="8">
        <f t="shared" si="44"/>
        <v>0.76</v>
      </c>
      <c r="J96" s="7">
        <f>(((J92)+(J93))+(J94))+(J95)</f>
        <v>150</v>
      </c>
      <c r="K96" s="7">
        <f>(((K92)+(K93))+(K94))+(K95)</f>
        <v>500</v>
      </c>
      <c r="L96" s="7">
        <f t="shared" si="45"/>
        <v>-350</v>
      </c>
      <c r="M96" s="8">
        <f t="shared" si="46"/>
        <v>0.3</v>
      </c>
      <c r="N96" s="7">
        <f>(((N92)+(N93))+(N94))+(N95)</f>
        <v>750</v>
      </c>
      <c r="O96" s="7">
        <f>(((O92)+(O93))+(O94))+(O95)</f>
        <v>500</v>
      </c>
      <c r="P96" s="7">
        <f t="shared" si="47"/>
        <v>250</v>
      </c>
      <c r="Q96" s="8">
        <f t="shared" si="48"/>
        <v>1.5</v>
      </c>
      <c r="R96" s="7">
        <f>(((R92)+(R93))+(R94))+(R95)</f>
        <v>110</v>
      </c>
      <c r="S96" s="7">
        <f>(((S92)+(S93))+(S94))+(S95)</f>
        <v>500</v>
      </c>
      <c r="T96" s="7">
        <f t="shared" si="49"/>
        <v>-390</v>
      </c>
      <c r="U96" s="8">
        <f t="shared" si="50"/>
        <v>0.22</v>
      </c>
      <c r="V96" s="7">
        <f>(((V92)+(V93))+(V94))+(V95)</f>
        <v>1336.25</v>
      </c>
      <c r="W96" s="7">
        <f>(((W92)+(W93))+(W94))+(W95)</f>
        <v>500</v>
      </c>
      <c r="X96" s="7">
        <f t="shared" si="51"/>
        <v>836.25</v>
      </c>
      <c r="Y96" s="8">
        <f t="shared" si="52"/>
        <v>2.6724999999999999</v>
      </c>
      <c r="Z96" s="7">
        <f>(((Z92)+(Z93))+(Z94))+(Z95)</f>
        <v>0</v>
      </c>
      <c r="AA96" s="7">
        <f>(((AA92)+(AA93))+(AA94))+(AA95)</f>
        <v>500</v>
      </c>
      <c r="AB96" s="7">
        <f t="shared" si="53"/>
        <v>-500</v>
      </c>
      <c r="AC96" s="8">
        <f t="shared" si="54"/>
        <v>0</v>
      </c>
      <c r="AD96" s="7">
        <f>(((AD92)+(AD93))+(AD94))+(AD95)</f>
        <v>718.75</v>
      </c>
      <c r="AE96" s="7">
        <f>(((AE92)+(AE93))+(AE94))+(AE95)</f>
        <v>500</v>
      </c>
      <c r="AF96" s="7">
        <f t="shared" si="55"/>
        <v>218.75</v>
      </c>
      <c r="AG96" s="8">
        <f t="shared" si="56"/>
        <v>1.4375</v>
      </c>
      <c r="AH96" s="7">
        <f t="shared" si="57"/>
        <v>4388.75</v>
      </c>
      <c r="AI96" s="7">
        <f t="shared" si="58"/>
        <v>4000</v>
      </c>
      <c r="AJ96" s="7">
        <f t="shared" si="59"/>
        <v>388.75</v>
      </c>
      <c r="AK96" s="8">
        <f t="shared" si="60"/>
        <v>1.0971875</v>
      </c>
    </row>
    <row r="97" spans="1:37" x14ac:dyDescent="0.3">
      <c r="A97" s="3" t="s">
        <v>103</v>
      </c>
      <c r="B97" s="4"/>
      <c r="C97" s="4"/>
      <c r="D97" s="5">
        <f t="shared" si="41"/>
        <v>0</v>
      </c>
      <c r="E97" s="6" t="str">
        <f t="shared" si="42"/>
        <v/>
      </c>
      <c r="F97" s="4"/>
      <c r="G97" s="4"/>
      <c r="H97" s="5">
        <f t="shared" si="43"/>
        <v>0</v>
      </c>
      <c r="I97" s="6" t="str">
        <f t="shared" si="44"/>
        <v/>
      </c>
      <c r="J97" s="4"/>
      <c r="K97" s="4"/>
      <c r="L97" s="5">
        <f t="shared" si="45"/>
        <v>0</v>
      </c>
      <c r="M97" s="6" t="str">
        <f t="shared" si="46"/>
        <v/>
      </c>
      <c r="N97" s="4"/>
      <c r="O97" s="4"/>
      <c r="P97" s="5">
        <f t="shared" si="47"/>
        <v>0</v>
      </c>
      <c r="Q97" s="6" t="str">
        <f t="shared" si="48"/>
        <v/>
      </c>
      <c r="R97" s="4"/>
      <c r="S97" s="4"/>
      <c r="T97" s="5">
        <f t="shared" si="49"/>
        <v>0</v>
      </c>
      <c r="U97" s="6" t="str">
        <f t="shared" si="50"/>
        <v/>
      </c>
      <c r="V97" s="4"/>
      <c r="W97" s="4"/>
      <c r="X97" s="5">
        <f t="shared" si="51"/>
        <v>0</v>
      </c>
      <c r="Y97" s="6" t="str">
        <f t="shared" si="52"/>
        <v/>
      </c>
      <c r="Z97" s="4"/>
      <c r="AA97" s="4"/>
      <c r="AB97" s="5">
        <f t="shared" si="53"/>
        <v>0</v>
      </c>
      <c r="AC97" s="6" t="str">
        <f t="shared" si="54"/>
        <v/>
      </c>
      <c r="AD97" s="4"/>
      <c r="AE97" s="4"/>
      <c r="AF97" s="5">
        <f t="shared" si="55"/>
        <v>0</v>
      </c>
      <c r="AG97" s="6" t="str">
        <f t="shared" si="56"/>
        <v/>
      </c>
      <c r="AH97" s="5">
        <f t="shared" si="57"/>
        <v>0</v>
      </c>
      <c r="AI97" s="5">
        <f t="shared" si="58"/>
        <v>0</v>
      </c>
      <c r="AJ97" s="5">
        <f t="shared" si="59"/>
        <v>0</v>
      </c>
      <c r="AK97" s="6" t="str">
        <f t="shared" si="60"/>
        <v/>
      </c>
    </row>
    <row r="98" spans="1:37" x14ac:dyDescent="0.3">
      <c r="A98" s="3" t="s">
        <v>104</v>
      </c>
      <c r="B98" s="5">
        <f>65</f>
        <v>65</v>
      </c>
      <c r="C98" s="5">
        <f>1041.63</f>
        <v>1041.6300000000001</v>
      </c>
      <c r="D98" s="5">
        <f t="shared" si="41"/>
        <v>-976.63000000000011</v>
      </c>
      <c r="E98" s="6">
        <f t="shared" si="42"/>
        <v>6.2402196557318809E-2</v>
      </c>
      <c r="F98" s="5">
        <f>0</f>
        <v>0</v>
      </c>
      <c r="G98" s="5">
        <f>1041.63</f>
        <v>1041.6300000000001</v>
      </c>
      <c r="H98" s="5">
        <f t="shared" si="43"/>
        <v>-1041.6300000000001</v>
      </c>
      <c r="I98" s="6">
        <f t="shared" si="44"/>
        <v>0</v>
      </c>
      <c r="J98" s="5">
        <f>0</f>
        <v>0</v>
      </c>
      <c r="K98" s="5">
        <f>1041.63</f>
        <v>1041.6300000000001</v>
      </c>
      <c r="L98" s="5">
        <f t="shared" si="45"/>
        <v>-1041.6300000000001</v>
      </c>
      <c r="M98" s="6">
        <f t="shared" si="46"/>
        <v>0</v>
      </c>
      <c r="N98" s="5">
        <f>195</f>
        <v>195</v>
      </c>
      <c r="O98" s="5">
        <f>1041.63</f>
        <v>1041.6300000000001</v>
      </c>
      <c r="P98" s="5">
        <f t="shared" si="47"/>
        <v>-846.63000000000011</v>
      </c>
      <c r="Q98" s="6">
        <f t="shared" si="48"/>
        <v>0.18720658967195644</v>
      </c>
      <c r="R98" s="4"/>
      <c r="S98" s="5">
        <f>1041.63</f>
        <v>1041.6300000000001</v>
      </c>
      <c r="T98" s="5">
        <f t="shared" si="49"/>
        <v>-1041.6300000000001</v>
      </c>
      <c r="U98" s="6">
        <f t="shared" si="50"/>
        <v>0</v>
      </c>
      <c r="V98" s="4"/>
      <c r="W98" s="5">
        <f>1041.63</f>
        <v>1041.6300000000001</v>
      </c>
      <c r="X98" s="5">
        <f t="shared" si="51"/>
        <v>-1041.6300000000001</v>
      </c>
      <c r="Y98" s="6">
        <f t="shared" si="52"/>
        <v>0</v>
      </c>
      <c r="Z98" s="4"/>
      <c r="AA98" s="5">
        <f>1041.63</f>
        <v>1041.6300000000001</v>
      </c>
      <c r="AB98" s="5">
        <f t="shared" si="53"/>
        <v>-1041.6300000000001</v>
      </c>
      <c r="AC98" s="6">
        <f t="shared" si="54"/>
        <v>0</v>
      </c>
      <c r="AD98" s="4"/>
      <c r="AE98" s="5">
        <f>1041.63</f>
        <v>1041.6300000000001</v>
      </c>
      <c r="AF98" s="5">
        <f t="shared" si="55"/>
        <v>-1041.6300000000001</v>
      </c>
      <c r="AG98" s="6">
        <f t="shared" si="56"/>
        <v>0</v>
      </c>
      <c r="AH98" s="5">
        <f t="shared" si="57"/>
        <v>260</v>
      </c>
      <c r="AI98" s="5">
        <f t="shared" si="58"/>
        <v>8333.0400000000009</v>
      </c>
      <c r="AJ98" s="5">
        <f t="shared" si="59"/>
        <v>-8073.0400000000009</v>
      </c>
      <c r="AK98" s="6">
        <f t="shared" si="60"/>
        <v>3.1201098278659405E-2</v>
      </c>
    </row>
    <row r="99" spans="1:37" x14ac:dyDescent="0.3">
      <c r="A99" s="3" t="s">
        <v>105</v>
      </c>
      <c r="B99" s="5">
        <f>35</f>
        <v>35</v>
      </c>
      <c r="C99" s="5">
        <f>560.88</f>
        <v>560.88</v>
      </c>
      <c r="D99" s="5">
        <f t="shared" si="41"/>
        <v>-525.88</v>
      </c>
      <c r="E99" s="6">
        <f t="shared" si="42"/>
        <v>6.2401939808871772E-2</v>
      </c>
      <c r="F99" s="5">
        <f>0</f>
        <v>0</v>
      </c>
      <c r="G99" s="5">
        <f>560.88</f>
        <v>560.88</v>
      </c>
      <c r="H99" s="5">
        <f t="shared" si="43"/>
        <v>-560.88</v>
      </c>
      <c r="I99" s="6">
        <f t="shared" si="44"/>
        <v>0</v>
      </c>
      <c r="J99" s="5">
        <f>0</f>
        <v>0</v>
      </c>
      <c r="K99" s="5">
        <f>560.88</f>
        <v>560.88</v>
      </c>
      <c r="L99" s="5">
        <f t="shared" si="45"/>
        <v>-560.88</v>
      </c>
      <c r="M99" s="6">
        <f t="shared" si="46"/>
        <v>0</v>
      </c>
      <c r="N99" s="5">
        <f>105</f>
        <v>105</v>
      </c>
      <c r="O99" s="5">
        <f>560.88</f>
        <v>560.88</v>
      </c>
      <c r="P99" s="5">
        <f t="shared" si="47"/>
        <v>-455.88</v>
      </c>
      <c r="Q99" s="6">
        <f t="shared" si="48"/>
        <v>0.18720581942661532</v>
      </c>
      <c r="R99" s="4"/>
      <c r="S99" s="5">
        <f>560.88</f>
        <v>560.88</v>
      </c>
      <c r="T99" s="5">
        <f t="shared" si="49"/>
        <v>-560.88</v>
      </c>
      <c r="U99" s="6">
        <f t="shared" si="50"/>
        <v>0</v>
      </c>
      <c r="V99" s="4"/>
      <c r="W99" s="5">
        <f>560.88</f>
        <v>560.88</v>
      </c>
      <c r="X99" s="5">
        <f t="shared" si="51"/>
        <v>-560.88</v>
      </c>
      <c r="Y99" s="6">
        <f t="shared" si="52"/>
        <v>0</v>
      </c>
      <c r="Z99" s="4"/>
      <c r="AA99" s="5">
        <f>560.88</f>
        <v>560.88</v>
      </c>
      <c r="AB99" s="5">
        <f t="shared" si="53"/>
        <v>-560.88</v>
      </c>
      <c r="AC99" s="6">
        <f t="shared" si="54"/>
        <v>0</v>
      </c>
      <c r="AD99" s="4"/>
      <c r="AE99" s="5">
        <f>560.88</f>
        <v>560.88</v>
      </c>
      <c r="AF99" s="5">
        <f t="shared" si="55"/>
        <v>-560.88</v>
      </c>
      <c r="AG99" s="6">
        <f t="shared" si="56"/>
        <v>0</v>
      </c>
      <c r="AH99" s="5">
        <f t="shared" si="57"/>
        <v>140</v>
      </c>
      <c r="AI99" s="5">
        <f t="shared" si="58"/>
        <v>4487.04</v>
      </c>
      <c r="AJ99" s="5">
        <f t="shared" si="59"/>
        <v>-4347.04</v>
      </c>
      <c r="AK99" s="6">
        <f t="shared" si="60"/>
        <v>3.1200969904435886E-2</v>
      </c>
    </row>
    <row r="100" spans="1:37" x14ac:dyDescent="0.3">
      <c r="A100" s="3" t="s">
        <v>106</v>
      </c>
      <c r="B100" s="5">
        <f>0</f>
        <v>0</v>
      </c>
      <c r="C100" s="4"/>
      <c r="D100" s="5">
        <f t="shared" si="41"/>
        <v>0</v>
      </c>
      <c r="E100" s="6" t="str">
        <f t="shared" si="42"/>
        <v/>
      </c>
      <c r="F100" s="5">
        <f>0</f>
        <v>0</v>
      </c>
      <c r="G100" s="4"/>
      <c r="H100" s="5">
        <f t="shared" si="43"/>
        <v>0</v>
      </c>
      <c r="I100" s="6" t="str">
        <f t="shared" si="44"/>
        <v/>
      </c>
      <c r="J100" s="5">
        <f>0</f>
        <v>0</v>
      </c>
      <c r="K100" s="4"/>
      <c r="L100" s="5">
        <f t="shared" si="45"/>
        <v>0</v>
      </c>
      <c r="M100" s="6" t="str">
        <f t="shared" si="46"/>
        <v/>
      </c>
      <c r="N100" s="5">
        <f>0</f>
        <v>0</v>
      </c>
      <c r="O100" s="4"/>
      <c r="P100" s="5">
        <f t="shared" si="47"/>
        <v>0</v>
      </c>
      <c r="Q100" s="6" t="str">
        <f t="shared" si="48"/>
        <v/>
      </c>
      <c r="R100" s="4"/>
      <c r="S100" s="4"/>
      <c r="T100" s="5">
        <f t="shared" si="49"/>
        <v>0</v>
      </c>
      <c r="U100" s="6" t="str">
        <f t="shared" si="50"/>
        <v/>
      </c>
      <c r="V100" s="4"/>
      <c r="W100" s="4"/>
      <c r="X100" s="5">
        <f t="shared" si="51"/>
        <v>0</v>
      </c>
      <c r="Y100" s="6" t="str">
        <f t="shared" si="52"/>
        <v/>
      </c>
      <c r="Z100" s="4"/>
      <c r="AA100" s="4"/>
      <c r="AB100" s="5">
        <f t="shared" si="53"/>
        <v>0</v>
      </c>
      <c r="AC100" s="6" t="str">
        <f t="shared" si="54"/>
        <v/>
      </c>
      <c r="AD100" s="4"/>
      <c r="AE100" s="4"/>
      <c r="AF100" s="5">
        <f t="shared" si="55"/>
        <v>0</v>
      </c>
      <c r="AG100" s="6" t="str">
        <f t="shared" si="56"/>
        <v/>
      </c>
      <c r="AH100" s="5">
        <f t="shared" si="57"/>
        <v>0</v>
      </c>
      <c r="AI100" s="5">
        <f t="shared" si="58"/>
        <v>0</v>
      </c>
      <c r="AJ100" s="5">
        <f t="shared" si="59"/>
        <v>0</v>
      </c>
      <c r="AK100" s="6" t="str">
        <f t="shared" si="60"/>
        <v/>
      </c>
    </row>
    <row r="101" spans="1:37" x14ac:dyDescent="0.3">
      <c r="A101" s="3" t="s">
        <v>107</v>
      </c>
      <c r="B101" s="7">
        <f>(((B97)+(B98))+(B99))+(B100)</f>
        <v>100</v>
      </c>
      <c r="C101" s="7">
        <f>(((C97)+(C98))+(C99))+(C100)</f>
        <v>1602.5100000000002</v>
      </c>
      <c r="D101" s="7">
        <f t="shared" si="41"/>
        <v>-1502.5100000000002</v>
      </c>
      <c r="E101" s="8">
        <f t="shared" si="42"/>
        <v>6.2402106695122021E-2</v>
      </c>
      <c r="F101" s="7">
        <f>(((F97)+(F98))+(F99))+(F100)</f>
        <v>0</v>
      </c>
      <c r="G101" s="7">
        <f>(((G97)+(G98))+(G99))+(G100)</f>
        <v>1602.5100000000002</v>
      </c>
      <c r="H101" s="7">
        <f t="shared" si="43"/>
        <v>-1602.5100000000002</v>
      </c>
      <c r="I101" s="8">
        <f t="shared" si="44"/>
        <v>0</v>
      </c>
      <c r="J101" s="7">
        <f>(((J97)+(J98))+(J99))+(J100)</f>
        <v>0</v>
      </c>
      <c r="K101" s="7">
        <f>(((K97)+(K98))+(K99))+(K100)</f>
        <v>1602.5100000000002</v>
      </c>
      <c r="L101" s="7">
        <f t="shared" si="45"/>
        <v>-1602.5100000000002</v>
      </c>
      <c r="M101" s="8">
        <f t="shared" si="46"/>
        <v>0</v>
      </c>
      <c r="N101" s="7">
        <f>(((N97)+(N98))+(N99))+(N100)</f>
        <v>300</v>
      </c>
      <c r="O101" s="7">
        <f>(((O97)+(O98))+(O99))+(O100)</f>
        <v>1602.5100000000002</v>
      </c>
      <c r="P101" s="7">
        <f t="shared" si="47"/>
        <v>-1302.5100000000002</v>
      </c>
      <c r="Q101" s="8">
        <f t="shared" si="48"/>
        <v>0.18720632008536606</v>
      </c>
      <c r="R101" s="7">
        <f>(((R97)+(R98))+(R99))+(R100)</f>
        <v>0</v>
      </c>
      <c r="S101" s="7">
        <f>(((S97)+(S98))+(S99))+(S100)</f>
        <v>1602.5100000000002</v>
      </c>
      <c r="T101" s="7">
        <f t="shared" si="49"/>
        <v>-1602.5100000000002</v>
      </c>
      <c r="U101" s="8">
        <f t="shared" si="50"/>
        <v>0</v>
      </c>
      <c r="V101" s="7">
        <f>(((V97)+(V98))+(V99))+(V100)</f>
        <v>0</v>
      </c>
      <c r="W101" s="7">
        <f>(((W97)+(W98))+(W99))+(W100)</f>
        <v>1602.5100000000002</v>
      </c>
      <c r="X101" s="7">
        <f t="shared" si="51"/>
        <v>-1602.5100000000002</v>
      </c>
      <c r="Y101" s="8">
        <f t="shared" si="52"/>
        <v>0</v>
      </c>
      <c r="Z101" s="7">
        <f>(((Z97)+(Z98))+(Z99))+(Z100)</f>
        <v>0</v>
      </c>
      <c r="AA101" s="7">
        <f>(((AA97)+(AA98))+(AA99))+(AA100)</f>
        <v>1602.5100000000002</v>
      </c>
      <c r="AB101" s="7">
        <f t="shared" si="53"/>
        <v>-1602.5100000000002</v>
      </c>
      <c r="AC101" s="8">
        <f t="shared" si="54"/>
        <v>0</v>
      </c>
      <c r="AD101" s="7">
        <f>(((AD97)+(AD98))+(AD99))+(AD100)</f>
        <v>0</v>
      </c>
      <c r="AE101" s="7">
        <f>(((AE97)+(AE98))+(AE99))+(AE100)</f>
        <v>1602.5100000000002</v>
      </c>
      <c r="AF101" s="7">
        <f t="shared" si="55"/>
        <v>-1602.5100000000002</v>
      </c>
      <c r="AG101" s="8">
        <f t="shared" si="56"/>
        <v>0</v>
      </c>
      <c r="AH101" s="7">
        <f t="shared" si="57"/>
        <v>400</v>
      </c>
      <c r="AI101" s="7">
        <f t="shared" si="58"/>
        <v>12820.080000000002</v>
      </c>
      <c r="AJ101" s="7">
        <f t="shared" si="59"/>
        <v>-12420.080000000002</v>
      </c>
      <c r="AK101" s="8">
        <f t="shared" si="60"/>
        <v>3.1201053347561011E-2</v>
      </c>
    </row>
    <row r="102" spans="1:37" x14ac:dyDescent="0.3">
      <c r="A102" s="3" t="s">
        <v>108</v>
      </c>
      <c r="B102" s="4"/>
      <c r="C102" s="4"/>
      <c r="D102" s="5">
        <f t="shared" si="41"/>
        <v>0</v>
      </c>
      <c r="E102" s="6" t="str">
        <f t="shared" si="42"/>
        <v/>
      </c>
      <c r="F102" s="4"/>
      <c r="G102" s="4"/>
      <c r="H102" s="5">
        <f t="shared" si="43"/>
        <v>0</v>
      </c>
      <c r="I102" s="6" t="str">
        <f t="shared" si="44"/>
        <v/>
      </c>
      <c r="J102" s="4"/>
      <c r="K102" s="4"/>
      <c r="L102" s="5">
        <f t="shared" si="45"/>
        <v>0</v>
      </c>
      <c r="M102" s="6" t="str">
        <f t="shared" si="46"/>
        <v/>
      </c>
      <c r="N102" s="4"/>
      <c r="O102" s="4"/>
      <c r="P102" s="5">
        <f t="shared" si="47"/>
        <v>0</v>
      </c>
      <c r="Q102" s="6" t="str">
        <f t="shared" si="48"/>
        <v/>
      </c>
      <c r="R102" s="4"/>
      <c r="S102" s="4"/>
      <c r="T102" s="5">
        <f t="shared" si="49"/>
        <v>0</v>
      </c>
      <c r="U102" s="6" t="str">
        <f t="shared" si="50"/>
        <v/>
      </c>
      <c r="V102" s="4"/>
      <c r="W102" s="4"/>
      <c r="X102" s="5">
        <f t="shared" si="51"/>
        <v>0</v>
      </c>
      <c r="Y102" s="6" t="str">
        <f t="shared" si="52"/>
        <v/>
      </c>
      <c r="Z102" s="4"/>
      <c r="AA102" s="4"/>
      <c r="AB102" s="5">
        <f t="shared" si="53"/>
        <v>0</v>
      </c>
      <c r="AC102" s="6" t="str">
        <f t="shared" si="54"/>
        <v/>
      </c>
      <c r="AD102" s="4"/>
      <c r="AE102" s="4"/>
      <c r="AF102" s="5">
        <f t="shared" si="55"/>
        <v>0</v>
      </c>
      <c r="AG102" s="6" t="str">
        <f t="shared" si="56"/>
        <v/>
      </c>
      <c r="AH102" s="5">
        <f t="shared" si="57"/>
        <v>0</v>
      </c>
      <c r="AI102" s="5">
        <f t="shared" si="58"/>
        <v>0</v>
      </c>
      <c r="AJ102" s="5">
        <f t="shared" si="59"/>
        <v>0</v>
      </c>
      <c r="AK102" s="6" t="str">
        <f t="shared" si="60"/>
        <v/>
      </c>
    </row>
    <row r="103" spans="1:37" x14ac:dyDescent="0.3">
      <c r="A103" s="3" t="s">
        <v>109</v>
      </c>
      <c r="B103" s="5">
        <f>11.21</f>
        <v>11.21</v>
      </c>
      <c r="C103" s="5">
        <f>290.01</f>
        <v>290.01</v>
      </c>
      <c r="D103" s="5">
        <f t="shared" si="41"/>
        <v>-278.8</v>
      </c>
      <c r="E103" s="6">
        <f t="shared" si="42"/>
        <v>3.8653839522775083E-2</v>
      </c>
      <c r="F103" s="4"/>
      <c r="G103" s="5">
        <f>290.01</f>
        <v>290.01</v>
      </c>
      <c r="H103" s="5">
        <f t="shared" si="43"/>
        <v>-290.01</v>
      </c>
      <c r="I103" s="6">
        <f t="shared" si="44"/>
        <v>0</v>
      </c>
      <c r="J103" s="4"/>
      <c r="K103" s="5">
        <f>290.01</f>
        <v>290.01</v>
      </c>
      <c r="L103" s="5">
        <f t="shared" si="45"/>
        <v>-290.01</v>
      </c>
      <c r="M103" s="6">
        <f t="shared" si="46"/>
        <v>0</v>
      </c>
      <c r="N103" s="4"/>
      <c r="O103" s="5">
        <f>290.01</f>
        <v>290.01</v>
      </c>
      <c r="P103" s="5">
        <f t="shared" si="47"/>
        <v>-290.01</v>
      </c>
      <c r="Q103" s="6">
        <f t="shared" si="48"/>
        <v>0</v>
      </c>
      <c r="R103" s="4"/>
      <c r="S103" s="5">
        <f>290.01</f>
        <v>290.01</v>
      </c>
      <c r="T103" s="5">
        <f t="shared" si="49"/>
        <v>-290.01</v>
      </c>
      <c r="U103" s="6">
        <f t="shared" si="50"/>
        <v>0</v>
      </c>
      <c r="V103" s="4"/>
      <c r="W103" s="5">
        <f>290.01</f>
        <v>290.01</v>
      </c>
      <c r="X103" s="5">
        <f t="shared" si="51"/>
        <v>-290.01</v>
      </c>
      <c r="Y103" s="6">
        <f t="shared" si="52"/>
        <v>0</v>
      </c>
      <c r="Z103" s="4"/>
      <c r="AA103" s="5">
        <f>290.01</f>
        <v>290.01</v>
      </c>
      <c r="AB103" s="5">
        <f t="shared" si="53"/>
        <v>-290.01</v>
      </c>
      <c r="AC103" s="6">
        <f t="shared" si="54"/>
        <v>0</v>
      </c>
      <c r="AD103" s="4"/>
      <c r="AE103" s="5">
        <f>290.01</f>
        <v>290.01</v>
      </c>
      <c r="AF103" s="5">
        <f t="shared" si="55"/>
        <v>-290.01</v>
      </c>
      <c r="AG103" s="6">
        <f t="shared" si="56"/>
        <v>0</v>
      </c>
      <c r="AH103" s="5">
        <f t="shared" si="57"/>
        <v>11.21</v>
      </c>
      <c r="AI103" s="5">
        <f t="shared" si="58"/>
        <v>2320.08</v>
      </c>
      <c r="AJ103" s="5">
        <f t="shared" si="59"/>
        <v>-2308.87</v>
      </c>
      <c r="AK103" s="6">
        <f t="shared" si="60"/>
        <v>4.8317299403468853E-3</v>
      </c>
    </row>
    <row r="104" spans="1:37" x14ac:dyDescent="0.3">
      <c r="A104" s="3" t="s">
        <v>110</v>
      </c>
      <c r="B104" s="5">
        <f>6.04</f>
        <v>6.04</v>
      </c>
      <c r="C104" s="5">
        <f>156.16</f>
        <v>156.16</v>
      </c>
      <c r="D104" s="5">
        <f t="shared" si="41"/>
        <v>-150.12</v>
      </c>
      <c r="E104" s="6">
        <f t="shared" si="42"/>
        <v>3.8678278688524588E-2</v>
      </c>
      <c r="F104" s="4"/>
      <c r="G104" s="5">
        <f>156.16</f>
        <v>156.16</v>
      </c>
      <c r="H104" s="5">
        <f t="shared" si="43"/>
        <v>-156.16</v>
      </c>
      <c r="I104" s="6">
        <f t="shared" si="44"/>
        <v>0</v>
      </c>
      <c r="J104" s="4"/>
      <c r="K104" s="5">
        <f>156.16</f>
        <v>156.16</v>
      </c>
      <c r="L104" s="5">
        <f t="shared" si="45"/>
        <v>-156.16</v>
      </c>
      <c r="M104" s="6">
        <f t="shared" si="46"/>
        <v>0</v>
      </c>
      <c r="N104" s="4"/>
      <c r="O104" s="5">
        <f>156.16</f>
        <v>156.16</v>
      </c>
      <c r="P104" s="5">
        <f t="shared" si="47"/>
        <v>-156.16</v>
      </c>
      <c r="Q104" s="6">
        <f t="shared" si="48"/>
        <v>0</v>
      </c>
      <c r="R104" s="4"/>
      <c r="S104" s="5">
        <f>156.16</f>
        <v>156.16</v>
      </c>
      <c r="T104" s="5">
        <f t="shared" si="49"/>
        <v>-156.16</v>
      </c>
      <c r="U104" s="6">
        <f t="shared" si="50"/>
        <v>0</v>
      </c>
      <c r="V104" s="4"/>
      <c r="W104" s="5">
        <f>156.16</f>
        <v>156.16</v>
      </c>
      <c r="X104" s="5">
        <f t="shared" si="51"/>
        <v>-156.16</v>
      </c>
      <c r="Y104" s="6">
        <f t="shared" si="52"/>
        <v>0</v>
      </c>
      <c r="Z104" s="4"/>
      <c r="AA104" s="5">
        <f>156.16</f>
        <v>156.16</v>
      </c>
      <c r="AB104" s="5">
        <f t="shared" si="53"/>
        <v>-156.16</v>
      </c>
      <c r="AC104" s="6">
        <f t="shared" si="54"/>
        <v>0</v>
      </c>
      <c r="AD104" s="4"/>
      <c r="AE104" s="5">
        <f>156.16</f>
        <v>156.16</v>
      </c>
      <c r="AF104" s="5">
        <f t="shared" si="55"/>
        <v>-156.16</v>
      </c>
      <c r="AG104" s="6">
        <f t="shared" si="56"/>
        <v>0</v>
      </c>
      <c r="AH104" s="5">
        <f t="shared" si="57"/>
        <v>6.04</v>
      </c>
      <c r="AI104" s="5">
        <f t="shared" si="58"/>
        <v>1249.28</v>
      </c>
      <c r="AJ104" s="5">
        <f t="shared" si="59"/>
        <v>-1243.24</v>
      </c>
      <c r="AK104" s="6">
        <f t="shared" si="60"/>
        <v>4.8347848360655735E-3</v>
      </c>
    </row>
    <row r="105" spans="1:37" x14ac:dyDescent="0.3">
      <c r="A105" s="3" t="s">
        <v>111</v>
      </c>
      <c r="B105" s="5">
        <f>0</f>
        <v>0</v>
      </c>
      <c r="C105" s="4"/>
      <c r="D105" s="5">
        <f t="shared" si="41"/>
        <v>0</v>
      </c>
      <c r="E105" s="6" t="str">
        <f t="shared" si="42"/>
        <v/>
      </c>
      <c r="F105" s="4"/>
      <c r="G105" s="4"/>
      <c r="H105" s="5">
        <f t="shared" si="43"/>
        <v>0</v>
      </c>
      <c r="I105" s="6" t="str">
        <f t="shared" si="44"/>
        <v/>
      </c>
      <c r="J105" s="4"/>
      <c r="K105" s="4"/>
      <c r="L105" s="5">
        <f t="shared" si="45"/>
        <v>0</v>
      </c>
      <c r="M105" s="6" t="str">
        <f t="shared" si="46"/>
        <v/>
      </c>
      <c r="N105" s="4"/>
      <c r="O105" s="4"/>
      <c r="P105" s="5">
        <f t="shared" si="47"/>
        <v>0</v>
      </c>
      <c r="Q105" s="6" t="str">
        <f t="shared" si="48"/>
        <v/>
      </c>
      <c r="R105" s="4"/>
      <c r="S105" s="4"/>
      <c r="T105" s="5">
        <f t="shared" si="49"/>
        <v>0</v>
      </c>
      <c r="U105" s="6" t="str">
        <f t="shared" si="50"/>
        <v/>
      </c>
      <c r="V105" s="4"/>
      <c r="W105" s="4"/>
      <c r="X105" s="5">
        <f t="shared" si="51"/>
        <v>0</v>
      </c>
      <c r="Y105" s="6" t="str">
        <f t="shared" si="52"/>
        <v/>
      </c>
      <c r="Z105" s="4"/>
      <c r="AA105" s="4"/>
      <c r="AB105" s="5">
        <f t="shared" si="53"/>
        <v>0</v>
      </c>
      <c r="AC105" s="6" t="str">
        <f t="shared" si="54"/>
        <v/>
      </c>
      <c r="AD105" s="4"/>
      <c r="AE105" s="4"/>
      <c r="AF105" s="5">
        <f t="shared" si="55"/>
        <v>0</v>
      </c>
      <c r="AG105" s="6" t="str">
        <f t="shared" si="56"/>
        <v/>
      </c>
      <c r="AH105" s="5">
        <f t="shared" si="57"/>
        <v>0</v>
      </c>
      <c r="AI105" s="5">
        <f t="shared" si="58"/>
        <v>0</v>
      </c>
      <c r="AJ105" s="5">
        <f t="shared" si="59"/>
        <v>0</v>
      </c>
      <c r="AK105" s="6" t="str">
        <f t="shared" si="60"/>
        <v/>
      </c>
    </row>
    <row r="106" spans="1:37" x14ac:dyDescent="0.3">
      <c r="A106" s="3" t="s">
        <v>112</v>
      </c>
      <c r="B106" s="7">
        <f>(((B102)+(B103))+(B104))+(B105)</f>
        <v>17.25</v>
      </c>
      <c r="C106" s="7">
        <f>(((C102)+(C103))+(C104))+(C105)</f>
        <v>446.16999999999996</v>
      </c>
      <c r="D106" s="7">
        <f t="shared" si="41"/>
        <v>-428.91999999999996</v>
      </c>
      <c r="E106" s="8">
        <f t="shared" si="42"/>
        <v>3.8662393258175137E-2</v>
      </c>
      <c r="F106" s="7">
        <f>(((F102)+(F103))+(F104))+(F105)</f>
        <v>0</v>
      </c>
      <c r="G106" s="7">
        <f>(((G102)+(G103))+(G104))+(G105)</f>
        <v>446.16999999999996</v>
      </c>
      <c r="H106" s="7">
        <f t="shared" si="43"/>
        <v>-446.16999999999996</v>
      </c>
      <c r="I106" s="8">
        <f t="shared" si="44"/>
        <v>0</v>
      </c>
      <c r="J106" s="7">
        <f>(((J102)+(J103))+(J104))+(J105)</f>
        <v>0</v>
      </c>
      <c r="K106" s="7">
        <f>(((K102)+(K103))+(K104))+(K105)</f>
        <v>446.16999999999996</v>
      </c>
      <c r="L106" s="7">
        <f t="shared" si="45"/>
        <v>-446.16999999999996</v>
      </c>
      <c r="M106" s="8">
        <f t="shared" si="46"/>
        <v>0</v>
      </c>
      <c r="N106" s="7">
        <f>(((N102)+(N103))+(N104))+(N105)</f>
        <v>0</v>
      </c>
      <c r="O106" s="7">
        <f>(((O102)+(O103))+(O104))+(O105)</f>
        <v>446.16999999999996</v>
      </c>
      <c r="P106" s="7">
        <f t="shared" si="47"/>
        <v>-446.16999999999996</v>
      </c>
      <c r="Q106" s="8">
        <f t="shared" si="48"/>
        <v>0</v>
      </c>
      <c r="R106" s="7">
        <f>(((R102)+(R103))+(R104))+(R105)</f>
        <v>0</v>
      </c>
      <c r="S106" s="7">
        <f>(((S102)+(S103))+(S104))+(S105)</f>
        <v>446.16999999999996</v>
      </c>
      <c r="T106" s="7">
        <f t="shared" si="49"/>
        <v>-446.16999999999996</v>
      </c>
      <c r="U106" s="8">
        <f t="shared" si="50"/>
        <v>0</v>
      </c>
      <c r="V106" s="7">
        <f>(((V102)+(V103))+(V104))+(V105)</f>
        <v>0</v>
      </c>
      <c r="W106" s="7">
        <f>(((W102)+(W103))+(W104))+(W105)</f>
        <v>446.16999999999996</v>
      </c>
      <c r="X106" s="7">
        <f t="shared" si="51"/>
        <v>-446.16999999999996</v>
      </c>
      <c r="Y106" s="8">
        <f t="shared" si="52"/>
        <v>0</v>
      </c>
      <c r="Z106" s="7">
        <f>(((Z102)+(Z103))+(Z104))+(Z105)</f>
        <v>0</v>
      </c>
      <c r="AA106" s="7">
        <f>(((AA102)+(AA103))+(AA104))+(AA105)</f>
        <v>446.16999999999996</v>
      </c>
      <c r="AB106" s="7">
        <f t="shared" si="53"/>
        <v>-446.16999999999996</v>
      </c>
      <c r="AC106" s="8">
        <f t="shared" si="54"/>
        <v>0</v>
      </c>
      <c r="AD106" s="7">
        <f>(((AD102)+(AD103))+(AD104))+(AD105)</f>
        <v>0</v>
      </c>
      <c r="AE106" s="7">
        <f>(((AE102)+(AE103))+(AE104))+(AE105)</f>
        <v>446.16999999999996</v>
      </c>
      <c r="AF106" s="7">
        <f t="shared" si="55"/>
        <v>-446.16999999999996</v>
      </c>
      <c r="AG106" s="8">
        <f t="shared" si="56"/>
        <v>0</v>
      </c>
      <c r="AH106" s="7">
        <f t="shared" si="57"/>
        <v>17.25</v>
      </c>
      <c r="AI106" s="7">
        <f t="shared" si="58"/>
        <v>3569.36</v>
      </c>
      <c r="AJ106" s="7">
        <f t="shared" si="59"/>
        <v>-3552.11</v>
      </c>
      <c r="AK106" s="8">
        <f t="shared" si="60"/>
        <v>4.8327991572718913E-3</v>
      </c>
    </row>
    <row r="107" spans="1:37" x14ac:dyDescent="0.3">
      <c r="A107" s="3" t="s">
        <v>113</v>
      </c>
      <c r="B107" s="4"/>
      <c r="C107" s="4"/>
      <c r="D107" s="5">
        <f t="shared" si="41"/>
        <v>0</v>
      </c>
      <c r="E107" s="6" t="str">
        <f t="shared" si="42"/>
        <v/>
      </c>
      <c r="F107" s="4"/>
      <c r="G107" s="4"/>
      <c r="H107" s="5">
        <f t="shared" si="43"/>
        <v>0</v>
      </c>
      <c r="I107" s="6" t="str">
        <f t="shared" si="44"/>
        <v/>
      </c>
      <c r="J107" s="4"/>
      <c r="K107" s="4"/>
      <c r="L107" s="5">
        <f t="shared" si="45"/>
        <v>0</v>
      </c>
      <c r="M107" s="6" t="str">
        <f t="shared" si="46"/>
        <v/>
      </c>
      <c r="N107" s="4"/>
      <c r="O107" s="4"/>
      <c r="P107" s="5">
        <f t="shared" si="47"/>
        <v>0</v>
      </c>
      <c r="Q107" s="6" t="str">
        <f t="shared" si="48"/>
        <v/>
      </c>
      <c r="R107" s="4"/>
      <c r="S107" s="4"/>
      <c r="T107" s="5">
        <f t="shared" si="49"/>
        <v>0</v>
      </c>
      <c r="U107" s="6" t="str">
        <f t="shared" si="50"/>
        <v/>
      </c>
      <c r="V107" s="4"/>
      <c r="W107" s="4"/>
      <c r="X107" s="5">
        <f t="shared" si="51"/>
        <v>0</v>
      </c>
      <c r="Y107" s="6" t="str">
        <f t="shared" si="52"/>
        <v/>
      </c>
      <c r="Z107" s="4"/>
      <c r="AA107" s="4"/>
      <c r="AB107" s="5">
        <f t="shared" si="53"/>
        <v>0</v>
      </c>
      <c r="AC107" s="6" t="str">
        <f t="shared" si="54"/>
        <v/>
      </c>
      <c r="AD107" s="4"/>
      <c r="AE107" s="4"/>
      <c r="AF107" s="5">
        <f t="shared" si="55"/>
        <v>0</v>
      </c>
      <c r="AG107" s="6" t="str">
        <f t="shared" si="56"/>
        <v/>
      </c>
      <c r="AH107" s="5">
        <f t="shared" si="57"/>
        <v>0</v>
      </c>
      <c r="AI107" s="5">
        <f t="shared" si="58"/>
        <v>0</v>
      </c>
      <c r="AJ107" s="5">
        <f t="shared" si="59"/>
        <v>0</v>
      </c>
      <c r="AK107" s="6" t="str">
        <f t="shared" si="60"/>
        <v/>
      </c>
    </row>
    <row r="108" spans="1:37" x14ac:dyDescent="0.3">
      <c r="A108" s="3" t="s">
        <v>114</v>
      </c>
      <c r="B108" s="4"/>
      <c r="C108" s="5">
        <f>833.08</f>
        <v>833.08</v>
      </c>
      <c r="D108" s="5">
        <f t="shared" si="41"/>
        <v>-833.08</v>
      </c>
      <c r="E108" s="6">
        <f t="shared" si="42"/>
        <v>0</v>
      </c>
      <c r="F108" s="4"/>
      <c r="G108" s="5">
        <f>833.08</f>
        <v>833.08</v>
      </c>
      <c r="H108" s="5">
        <f t="shared" si="43"/>
        <v>-833.08</v>
      </c>
      <c r="I108" s="6">
        <f t="shared" si="44"/>
        <v>0</v>
      </c>
      <c r="J108" s="4"/>
      <c r="K108" s="5">
        <f>833.08</f>
        <v>833.08</v>
      </c>
      <c r="L108" s="5">
        <f t="shared" si="45"/>
        <v>-833.08</v>
      </c>
      <c r="M108" s="6">
        <f t="shared" si="46"/>
        <v>0</v>
      </c>
      <c r="N108" s="4"/>
      <c r="O108" s="5">
        <f>833.08</f>
        <v>833.08</v>
      </c>
      <c r="P108" s="5">
        <f t="shared" si="47"/>
        <v>-833.08</v>
      </c>
      <c r="Q108" s="6">
        <f t="shared" si="48"/>
        <v>0</v>
      </c>
      <c r="R108" s="4"/>
      <c r="S108" s="5">
        <f>833.08</f>
        <v>833.08</v>
      </c>
      <c r="T108" s="5">
        <f t="shared" si="49"/>
        <v>-833.08</v>
      </c>
      <c r="U108" s="6">
        <f t="shared" si="50"/>
        <v>0</v>
      </c>
      <c r="V108" s="4"/>
      <c r="W108" s="5">
        <f>833.08</f>
        <v>833.08</v>
      </c>
      <c r="X108" s="5">
        <f t="shared" si="51"/>
        <v>-833.08</v>
      </c>
      <c r="Y108" s="6">
        <f t="shared" si="52"/>
        <v>0</v>
      </c>
      <c r="Z108" s="4"/>
      <c r="AA108" s="5">
        <f>833.08</f>
        <v>833.08</v>
      </c>
      <c r="AB108" s="5">
        <f t="shared" si="53"/>
        <v>-833.08</v>
      </c>
      <c r="AC108" s="6">
        <f t="shared" si="54"/>
        <v>0</v>
      </c>
      <c r="AD108" s="4"/>
      <c r="AE108" s="5">
        <f>833.08</f>
        <v>833.08</v>
      </c>
      <c r="AF108" s="5">
        <f t="shared" si="55"/>
        <v>-833.08</v>
      </c>
      <c r="AG108" s="6">
        <f t="shared" si="56"/>
        <v>0</v>
      </c>
      <c r="AH108" s="5">
        <f t="shared" si="57"/>
        <v>0</v>
      </c>
      <c r="AI108" s="5">
        <f t="shared" si="58"/>
        <v>6664.64</v>
      </c>
      <c r="AJ108" s="5">
        <f t="shared" si="59"/>
        <v>-6664.64</v>
      </c>
      <c r="AK108" s="6">
        <f t="shared" si="60"/>
        <v>0</v>
      </c>
    </row>
    <row r="109" spans="1:37" x14ac:dyDescent="0.3">
      <c r="A109" s="3" t="s">
        <v>115</v>
      </c>
      <c r="B109" s="4"/>
      <c r="C109" s="5">
        <f>448.58</f>
        <v>448.58</v>
      </c>
      <c r="D109" s="5">
        <f t="shared" si="41"/>
        <v>-448.58</v>
      </c>
      <c r="E109" s="6">
        <f t="shared" si="42"/>
        <v>0</v>
      </c>
      <c r="F109" s="4"/>
      <c r="G109" s="5">
        <f>448.58</f>
        <v>448.58</v>
      </c>
      <c r="H109" s="5">
        <f t="shared" si="43"/>
        <v>-448.58</v>
      </c>
      <c r="I109" s="6">
        <f t="shared" si="44"/>
        <v>0</v>
      </c>
      <c r="J109" s="4"/>
      <c r="K109" s="5">
        <f>448.58</f>
        <v>448.58</v>
      </c>
      <c r="L109" s="5">
        <f t="shared" si="45"/>
        <v>-448.58</v>
      </c>
      <c r="M109" s="6">
        <f t="shared" si="46"/>
        <v>0</v>
      </c>
      <c r="N109" s="4"/>
      <c r="O109" s="5">
        <f>448.58</f>
        <v>448.58</v>
      </c>
      <c r="P109" s="5">
        <f t="shared" si="47"/>
        <v>-448.58</v>
      </c>
      <c r="Q109" s="6">
        <f t="shared" si="48"/>
        <v>0</v>
      </c>
      <c r="R109" s="4"/>
      <c r="S109" s="5">
        <f>448.58</f>
        <v>448.58</v>
      </c>
      <c r="T109" s="5">
        <f t="shared" si="49"/>
        <v>-448.58</v>
      </c>
      <c r="U109" s="6">
        <f t="shared" si="50"/>
        <v>0</v>
      </c>
      <c r="V109" s="4"/>
      <c r="W109" s="5">
        <f>448.58</f>
        <v>448.58</v>
      </c>
      <c r="X109" s="5">
        <f t="shared" si="51"/>
        <v>-448.58</v>
      </c>
      <c r="Y109" s="6">
        <f t="shared" si="52"/>
        <v>0</v>
      </c>
      <c r="Z109" s="4"/>
      <c r="AA109" s="5">
        <f>448.58</f>
        <v>448.58</v>
      </c>
      <c r="AB109" s="5">
        <f t="shared" si="53"/>
        <v>-448.58</v>
      </c>
      <c r="AC109" s="6">
        <f t="shared" si="54"/>
        <v>0</v>
      </c>
      <c r="AD109" s="4"/>
      <c r="AE109" s="5">
        <f>448.58</f>
        <v>448.58</v>
      </c>
      <c r="AF109" s="5">
        <f t="shared" si="55"/>
        <v>-448.58</v>
      </c>
      <c r="AG109" s="6">
        <f t="shared" si="56"/>
        <v>0</v>
      </c>
      <c r="AH109" s="5">
        <f t="shared" si="57"/>
        <v>0</v>
      </c>
      <c r="AI109" s="5">
        <f t="shared" si="58"/>
        <v>3588.64</v>
      </c>
      <c r="AJ109" s="5">
        <f t="shared" si="59"/>
        <v>-3588.64</v>
      </c>
      <c r="AK109" s="6">
        <f t="shared" si="60"/>
        <v>0</v>
      </c>
    </row>
    <row r="110" spans="1:37" x14ac:dyDescent="0.3">
      <c r="A110" s="3" t="s">
        <v>116</v>
      </c>
      <c r="B110" s="7">
        <f>((B107)+(B108))+(B109)</f>
        <v>0</v>
      </c>
      <c r="C110" s="7">
        <f>((C107)+(C108))+(C109)</f>
        <v>1281.6600000000001</v>
      </c>
      <c r="D110" s="7">
        <f t="shared" ref="D110:D141" si="61">(B110)-(C110)</f>
        <v>-1281.6600000000001</v>
      </c>
      <c r="E110" s="8">
        <f t="shared" ref="E110:E123" si="62">IF(C110=0,"",(B110)/(C110))</f>
        <v>0</v>
      </c>
      <c r="F110" s="7">
        <f>((F107)+(F108))+(F109)</f>
        <v>0</v>
      </c>
      <c r="G110" s="7">
        <f>((G107)+(G108))+(G109)</f>
        <v>1281.6600000000001</v>
      </c>
      <c r="H110" s="7">
        <f t="shared" ref="H110:H141" si="63">(F110)-(G110)</f>
        <v>-1281.6600000000001</v>
      </c>
      <c r="I110" s="8">
        <f t="shared" ref="I110:I123" si="64">IF(G110=0,"",(F110)/(G110))</f>
        <v>0</v>
      </c>
      <c r="J110" s="7">
        <f>((J107)+(J108))+(J109)</f>
        <v>0</v>
      </c>
      <c r="K110" s="7">
        <f>((K107)+(K108))+(K109)</f>
        <v>1281.6600000000001</v>
      </c>
      <c r="L110" s="7">
        <f t="shared" ref="L110:L141" si="65">(J110)-(K110)</f>
        <v>-1281.6600000000001</v>
      </c>
      <c r="M110" s="8">
        <f t="shared" ref="M110:M123" si="66">IF(K110=0,"",(J110)/(K110))</f>
        <v>0</v>
      </c>
      <c r="N110" s="7">
        <f>((N107)+(N108))+(N109)</f>
        <v>0</v>
      </c>
      <c r="O110" s="7">
        <f>((O107)+(O108))+(O109)</f>
        <v>1281.6600000000001</v>
      </c>
      <c r="P110" s="7">
        <f t="shared" ref="P110:P141" si="67">(N110)-(O110)</f>
        <v>-1281.6600000000001</v>
      </c>
      <c r="Q110" s="8">
        <f t="shared" ref="Q110:Q123" si="68">IF(O110=0,"",(N110)/(O110))</f>
        <v>0</v>
      </c>
      <c r="R110" s="7">
        <f>((R107)+(R108))+(R109)</f>
        <v>0</v>
      </c>
      <c r="S110" s="7">
        <f>((S107)+(S108))+(S109)</f>
        <v>1281.6600000000001</v>
      </c>
      <c r="T110" s="7">
        <f t="shared" ref="T110:T141" si="69">(R110)-(S110)</f>
        <v>-1281.6600000000001</v>
      </c>
      <c r="U110" s="8">
        <f t="shared" ref="U110:U123" si="70">IF(S110=0,"",(R110)/(S110))</f>
        <v>0</v>
      </c>
      <c r="V110" s="7">
        <f>((V107)+(V108))+(V109)</f>
        <v>0</v>
      </c>
      <c r="W110" s="7">
        <f>((W107)+(W108))+(W109)</f>
        <v>1281.6600000000001</v>
      </c>
      <c r="X110" s="7">
        <f t="shared" ref="X110:X141" si="71">(V110)-(W110)</f>
        <v>-1281.6600000000001</v>
      </c>
      <c r="Y110" s="8">
        <f t="shared" ref="Y110:Y123" si="72">IF(W110=0,"",(V110)/(W110))</f>
        <v>0</v>
      </c>
      <c r="Z110" s="7">
        <f>((Z107)+(Z108))+(Z109)</f>
        <v>0</v>
      </c>
      <c r="AA110" s="7">
        <f>((AA107)+(AA108))+(AA109)</f>
        <v>1281.6600000000001</v>
      </c>
      <c r="AB110" s="7">
        <f t="shared" ref="AB110:AB141" si="73">(Z110)-(AA110)</f>
        <v>-1281.6600000000001</v>
      </c>
      <c r="AC110" s="8">
        <f t="shared" ref="AC110:AC123" si="74">IF(AA110=0,"",(Z110)/(AA110))</f>
        <v>0</v>
      </c>
      <c r="AD110" s="7">
        <f>((AD107)+(AD108))+(AD109)</f>
        <v>0</v>
      </c>
      <c r="AE110" s="7">
        <f>((AE107)+(AE108))+(AE109)</f>
        <v>1281.6600000000001</v>
      </c>
      <c r="AF110" s="7">
        <f t="shared" ref="AF110:AF141" si="75">(AD110)-(AE110)</f>
        <v>-1281.6600000000001</v>
      </c>
      <c r="AG110" s="8">
        <f t="shared" ref="AG110:AG123" si="76">IF(AE110=0,"",(AD110)/(AE110))</f>
        <v>0</v>
      </c>
      <c r="AH110" s="7">
        <f t="shared" ref="AH110:AH123" si="77">(((((((B110)+(F110))+(J110))+(N110))+(R110))+(V110))+(Z110))+(AD110)</f>
        <v>0</v>
      </c>
      <c r="AI110" s="7">
        <f t="shared" ref="AI110:AI123" si="78">(((((((C110)+(G110))+(K110))+(O110))+(S110))+(W110))+(AA110))+(AE110)</f>
        <v>10253.280000000001</v>
      </c>
      <c r="AJ110" s="7">
        <f t="shared" ref="AJ110:AJ141" si="79">(AH110)-(AI110)</f>
        <v>-10253.280000000001</v>
      </c>
      <c r="AK110" s="8">
        <f t="shared" ref="AK110:AK123" si="80">IF(AI110=0,"",(AH110)/(AI110))</f>
        <v>0</v>
      </c>
    </row>
    <row r="111" spans="1:37" x14ac:dyDescent="0.3">
      <c r="A111" s="3" t="s">
        <v>117</v>
      </c>
      <c r="B111" s="4"/>
      <c r="C111" s="4"/>
      <c r="D111" s="5">
        <f t="shared" si="61"/>
        <v>0</v>
      </c>
      <c r="E111" s="6" t="str">
        <f t="shared" si="62"/>
        <v/>
      </c>
      <c r="F111" s="4"/>
      <c r="G111" s="4"/>
      <c r="H111" s="5">
        <f t="shared" si="63"/>
        <v>0</v>
      </c>
      <c r="I111" s="6" t="str">
        <f t="shared" si="64"/>
        <v/>
      </c>
      <c r="J111" s="4"/>
      <c r="K111" s="4"/>
      <c r="L111" s="5">
        <f t="shared" si="65"/>
        <v>0</v>
      </c>
      <c r="M111" s="6" t="str">
        <f t="shared" si="66"/>
        <v/>
      </c>
      <c r="N111" s="4"/>
      <c r="O111" s="4"/>
      <c r="P111" s="5">
        <f t="shared" si="67"/>
        <v>0</v>
      </c>
      <c r="Q111" s="6" t="str">
        <f t="shared" si="68"/>
        <v/>
      </c>
      <c r="R111" s="4"/>
      <c r="S111" s="4"/>
      <c r="T111" s="5">
        <f t="shared" si="69"/>
        <v>0</v>
      </c>
      <c r="U111" s="6" t="str">
        <f t="shared" si="70"/>
        <v/>
      </c>
      <c r="V111" s="4"/>
      <c r="W111" s="4"/>
      <c r="X111" s="5">
        <f t="shared" si="71"/>
        <v>0</v>
      </c>
      <c r="Y111" s="6" t="str">
        <f t="shared" si="72"/>
        <v/>
      </c>
      <c r="Z111" s="4"/>
      <c r="AA111" s="4"/>
      <c r="AB111" s="5">
        <f t="shared" si="73"/>
        <v>0</v>
      </c>
      <c r="AC111" s="6" t="str">
        <f t="shared" si="74"/>
        <v/>
      </c>
      <c r="AD111" s="4"/>
      <c r="AE111" s="4"/>
      <c r="AF111" s="5">
        <f t="shared" si="75"/>
        <v>0</v>
      </c>
      <c r="AG111" s="6" t="str">
        <f t="shared" si="76"/>
        <v/>
      </c>
      <c r="AH111" s="5">
        <f t="shared" si="77"/>
        <v>0</v>
      </c>
      <c r="AI111" s="5">
        <f t="shared" si="78"/>
        <v>0</v>
      </c>
      <c r="AJ111" s="5">
        <f t="shared" si="79"/>
        <v>0</v>
      </c>
      <c r="AK111" s="6" t="str">
        <f t="shared" si="80"/>
        <v/>
      </c>
    </row>
    <row r="112" spans="1:37" x14ac:dyDescent="0.3">
      <c r="A112" s="3" t="s">
        <v>118</v>
      </c>
      <c r="B112" s="4"/>
      <c r="C112" s="5">
        <f>2979.17</f>
        <v>2979.17</v>
      </c>
      <c r="D112" s="5">
        <f t="shared" si="61"/>
        <v>-2979.17</v>
      </c>
      <c r="E112" s="6">
        <f t="shared" si="62"/>
        <v>0</v>
      </c>
      <c r="F112" s="5">
        <f>78</f>
        <v>78</v>
      </c>
      <c r="G112" s="5">
        <f>2979.17</f>
        <v>2979.17</v>
      </c>
      <c r="H112" s="5">
        <f t="shared" si="63"/>
        <v>-2901.17</v>
      </c>
      <c r="I112" s="6">
        <f t="shared" si="64"/>
        <v>2.6181788887508935E-2</v>
      </c>
      <c r="J112" s="5">
        <f>0</f>
        <v>0</v>
      </c>
      <c r="K112" s="5">
        <f>2979.17</f>
        <v>2979.17</v>
      </c>
      <c r="L112" s="5">
        <f t="shared" si="65"/>
        <v>-2979.17</v>
      </c>
      <c r="M112" s="6">
        <f t="shared" si="66"/>
        <v>0</v>
      </c>
      <c r="N112" s="5">
        <f>0</f>
        <v>0</v>
      </c>
      <c r="O112" s="5">
        <f>2979.17</f>
        <v>2979.17</v>
      </c>
      <c r="P112" s="5">
        <f t="shared" si="67"/>
        <v>-2979.17</v>
      </c>
      <c r="Q112" s="6">
        <f t="shared" si="68"/>
        <v>0</v>
      </c>
      <c r="R112" s="5">
        <f>123.94</f>
        <v>123.94</v>
      </c>
      <c r="S112" s="5">
        <f>2979.17</f>
        <v>2979.17</v>
      </c>
      <c r="T112" s="5">
        <f t="shared" si="69"/>
        <v>-2855.23</v>
      </c>
      <c r="U112" s="6">
        <f t="shared" si="70"/>
        <v>4.1602191214331508E-2</v>
      </c>
      <c r="V112" s="4"/>
      <c r="W112" s="5">
        <f>2979.17</f>
        <v>2979.17</v>
      </c>
      <c r="X112" s="5">
        <f t="shared" si="71"/>
        <v>-2979.17</v>
      </c>
      <c r="Y112" s="6">
        <f t="shared" si="72"/>
        <v>0</v>
      </c>
      <c r="Z112" s="4"/>
      <c r="AA112" s="5">
        <f>2979.17</f>
        <v>2979.17</v>
      </c>
      <c r="AB112" s="5">
        <f t="shared" si="73"/>
        <v>-2979.17</v>
      </c>
      <c r="AC112" s="6">
        <f t="shared" si="74"/>
        <v>0</v>
      </c>
      <c r="AD112" s="4"/>
      <c r="AE112" s="5">
        <f>2979.17</f>
        <v>2979.17</v>
      </c>
      <c r="AF112" s="5">
        <f t="shared" si="75"/>
        <v>-2979.17</v>
      </c>
      <c r="AG112" s="6">
        <f t="shared" si="76"/>
        <v>0</v>
      </c>
      <c r="AH112" s="5">
        <f t="shared" si="77"/>
        <v>201.94</v>
      </c>
      <c r="AI112" s="5">
        <f t="shared" si="78"/>
        <v>23833.360000000001</v>
      </c>
      <c r="AJ112" s="5">
        <f t="shared" si="79"/>
        <v>-23631.420000000002</v>
      </c>
      <c r="AK112" s="6">
        <f t="shared" si="80"/>
        <v>8.4729975127300558E-3</v>
      </c>
    </row>
    <row r="113" spans="1:37" x14ac:dyDescent="0.3">
      <c r="A113" s="3" t="s">
        <v>119</v>
      </c>
      <c r="B113" s="4"/>
      <c r="C113" s="5">
        <f>1604.17</f>
        <v>1604.17</v>
      </c>
      <c r="D113" s="5">
        <f t="shared" si="61"/>
        <v>-1604.17</v>
      </c>
      <c r="E113" s="6">
        <f t="shared" si="62"/>
        <v>0</v>
      </c>
      <c r="F113" s="5">
        <f>42</f>
        <v>42</v>
      </c>
      <c r="G113" s="5">
        <f>1604.17</f>
        <v>1604.17</v>
      </c>
      <c r="H113" s="5">
        <f t="shared" si="63"/>
        <v>-1562.17</v>
      </c>
      <c r="I113" s="6">
        <f t="shared" si="64"/>
        <v>2.6181763778153188E-2</v>
      </c>
      <c r="J113" s="5">
        <f>0</f>
        <v>0</v>
      </c>
      <c r="K113" s="5">
        <f>1604.17</f>
        <v>1604.17</v>
      </c>
      <c r="L113" s="5">
        <f t="shared" si="65"/>
        <v>-1604.17</v>
      </c>
      <c r="M113" s="6">
        <f t="shared" si="66"/>
        <v>0</v>
      </c>
      <c r="N113" s="5">
        <f>0</f>
        <v>0</v>
      </c>
      <c r="O113" s="5">
        <f>1604.17</f>
        <v>1604.17</v>
      </c>
      <c r="P113" s="5">
        <f t="shared" si="67"/>
        <v>-1604.17</v>
      </c>
      <c r="Q113" s="6">
        <f t="shared" si="68"/>
        <v>0</v>
      </c>
      <c r="R113" s="5">
        <f>66.73</f>
        <v>66.73</v>
      </c>
      <c r="S113" s="5">
        <f>1604.17</f>
        <v>1604.17</v>
      </c>
      <c r="T113" s="5">
        <f t="shared" si="69"/>
        <v>-1537.44</v>
      </c>
      <c r="U113" s="6">
        <f t="shared" si="70"/>
        <v>4.159783564086101E-2</v>
      </c>
      <c r="V113" s="4"/>
      <c r="W113" s="5">
        <f>1604.17</f>
        <v>1604.17</v>
      </c>
      <c r="X113" s="5">
        <f t="shared" si="71"/>
        <v>-1604.17</v>
      </c>
      <c r="Y113" s="6">
        <f t="shared" si="72"/>
        <v>0</v>
      </c>
      <c r="Z113" s="4"/>
      <c r="AA113" s="5">
        <f>1604.17</f>
        <v>1604.17</v>
      </c>
      <c r="AB113" s="5">
        <f t="shared" si="73"/>
        <v>-1604.17</v>
      </c>
      <c r="AC113" s="6">
        <f t="shared" si="74"/>
        <v>0</v>
      </c>
      <c r="AD113" s="4"/>
      <c r="AE113" s="5">
        <f>1604.17</f>
        <v>1604.17</v>
      </c>
      <c r="AF113" s="5">
        <f t="shared" si="75"/>
        <v>-1604.17</v>
      </c>
      <c r="AG113" s="6">
        <f t="shared" si="76"/>
        <v>0</v>
      </c>
      <c r="AH113" s="5">
        <f t="shared" si="77"/>
        <v>108.73</v>
      </c>
      <c r="AI113" s="5">
        <f t="shared" si="78"/>
        <v>12833.36</v>
      </c>
      <c r="AJ113" s="5">
        <f t="shared" si="79"/>
        <v>-12724.630000000001</v>
      </c>
      <c r="AK113" s="6">
        <f t="shared" si="80"/>
        <v>8.4724499273767743E-3</v>
      </c>
    </row>
    <row r="114" spans="1:37" x14ac:dyDescent="0.3">
      <c r="A114" s="3" t="s">
        <v>120</v>
      </c>
      <c r="B114" s="4"/>
      <c r="C114" s="4"/>
      <c r="D114" s="5">
        <f t="shared" si="61"/>
        <v>0</v>
      </c>
      <c r="E114" s="6" t="str">
        <f t="shared" si="62"/>
        <v/>
      </c>
      <c r="F114" s="5">
        <f>0</f>
        <v>0</v>
      </c>
      <c r="G114" s="4"/>
      <c r="H114" s="5">
        <f t="shared" si="63"/>
        <v>0</v>
      </c>
      <c r="I114" s="6" t="str">
        <f t="shared" si="64"/>
        <v/>
      </c>
      <c r="J114" s="5">
        <f>2550</f>
        <v>2550</v>
      </c>
      <c r="K114" s="4"/>
      <c r="L114" s="5">
        <f t="shared" si="65"/>
        <v>2550</v>
      </c>
      <c r="M114" s="6" t="str">
        <f t="shared" si="66"/>
        <v/>
      </c>
      <c r="N114" s="5">
        <f>0</f>
        <v>0</v>
      </c>
      <c r="O114" s="4"/>
      <c r="P114" s="5">
        <f t="shared" si="67"/>
        <v>0</v>
      </c>
      <c r="Q114" s="6" t="str">
        <f t="shared" si="68"/>
        <v/>
      </c>
      <c r="R114" s="5">
        <f>0</f>
        <v>0</v>
      </c>
      <c r="S114" s="4"/>
      <c r="T114" s="5">
        <f t="shared" si="69"/>
        <v>0</v>
      </c>
      <c r="U114" s="6" t="str">
        <f t="shared" si="70"/>
        <v/>
      </c>
      <c r="V114" s="5">
        <f>3750</f>
        <v>3750</v>
      </c>
      <c r="W114" s="4"/>
      <c r="X114" s="5">
        <f t="shared" si="71"/>
        <v>3750</v>
      </c>
      <c r="Y114" s="6" t="str">
        <f t="shared" si="72"/>
        <v/>
      </c>
      <c r="Z114" s="4"/>
      <c r="AA114" s="4"/>
      <c r="AB114" s="5">
        <f t="shared" si="73"/>
        <v>0</v>
      </c>
      <c r="AC114" s="6" t="str">
        <f t="shared" si="74"/>
        <v/>
      </c>
      <c r="AD114" s="5">
        <f>3750</f>
        <v>3750</v>
      </c>
      <c r="AE114" s="4"/>
      <c r="AF114" s="5">
        <f t="shared" si="75"/>
        <v>3750</v>
      </c>
      <c r="AG114" s="6" t="str">
        <f t="shared" si="76"/>
        <v/>
      </c>
      <c r="AH114" s="5">
        <f t="shared" si="77"/>
        <v>10050</v>
      </c>
      <c r="AI114" s="5">
        <f t="shared" si="78"/>
        <v>0</v>
      </c>
      <c r="AJ114" s="5">
        <f t="shared" si="79"/>
        <v>10050</v>
      </c>
      <c r="AK114" s="6" t="str">
        <f t="shared" si="80"/>
        <v/>
      </c>
    </row>
    <row r="115" spans="1:37" x14ac:dyDescent="0.3">
      <c r="A115" s="3" t="s">
        <v>121</v>
      </c>
      <c r="B115" s="7">
        <f>(((B111)+(B112))+(B113))+(B114)</f>
        <v>0</v>
      </c>
      <c r="C115" s="7">
        <f>(((C111)+(C112))+(C113))+(C114)</f>
        <v>4583.34</v>
      </c>
      <c r="D115" s="7">
        <f t="shared" si="61"/>
        <v>-4583.34</v>
      </c>
      <c r="E115" s="8">
        <f t="shared" si="62"/>
        <v>0</v>
      </c>
      <c r="F115" s="7">
        <f>(((F111)+(F112))+(F113))+(F114)</f>
        <v>120</v>
      </c>
      <c r="G115" s="7">
        <f>(((G111)+(G112))+(G113))+(G114)</f>
        <v>4583.34</v>
      </c>
      <c r="H115" s="7">
        <f t="shared" si="63"/>
        <v>-4463.34</v>
      </c>
      <c r="I115" s="8">
        <f t="shared" si="64"/>
        <v>2.6181780099228946E-2</v>
      </c>
      <c r="J115" s="7">
        <f>(((J111)+(J112))+(J113))+(J114)</f>
        <v>2550</v>
      </c>
      <c r="K115" s="7">
        <f>(((K111)+(K112))+(K113))+(K114)</f>
        <v>4583.34</v>
      </c>
      <c r="L115" s="7">
        <f t="shared" si="65"/>
        <v>-2033.3400000000001</v>
      </c>
      <c r="M115" s="8">
        <f t="shared" si="66"/>
        <v>0.55636282710861507</v>
      </c>
      <c r="N115" s="7">
        <f>(((N111)+(N112))+(N113))+(N114)</f>
        <v>0</v>
      </c>
      <c r="O115" s="7">
        <f>(((O111)+(O112))+(O113))+(O114)</f>
        <v>4583.34</v>
      </c>
      <c r="P115" s="7">
        <f t="shared" si="67"/>
        <v>-4583.34</v>
      </c>
      <c r="Q115" s="8">
        <f t="shared" si="68"/>
        <v>0</v>
      </c>
      <c r="R115" s="7">
        <f>(((R111)+(R112))+(R113))+(R114)</f>
        <v>190.67000000000002</v>
      </c>
      <c r="S115" s="7">
        <f>(((S111)+(S112))+(S113))+(S114)</f>
        <v>4583.34</v>
      </c>
      <c r="T115" s="7">
        <f t="shared" si="69"/>
        <v>-4392.67</v>
      </c>
      <c r="U115" s="8">
        <f t="shared" si="70"/>
        <v>4.1600666762666529E-2</v>
      </c>
      <c r="V115" s="7">
        <f>(((V111)+(V112))+(V113))+(V114)</f>
        <v>3750</v>
      </c>
      <c r="W115" s="7">
        <f>(((W111)+(W112))+(W113))+(W114)</f>
        <v>4583.34</v>
      </c>
      <c r="X115" s="7">
        <f t="shared" si="71"/>
        <v>-833.34000000000015</v>
      </c>
      <c r="Y115" s="8">
        <f t="shared" si="72"/>
        <v>0.81818062810090453</v>
      </c>
      <c r="Z115" s="7">
        <f>(((Z111)+(Z112))+(Z113))+(Z114)</f>
        <v>0</v>
      </c>
      <c r="AA115" s="7">
        <f>(((AA111)+(AA112))+(AA113))+(AA114)</f>
        <v>4583.34</v>
      </c>
      <c r="AB115" s="7">
        <f t="shared" si="73"/>
        <v>-4583.34</v>
      </c>
      <c r="AC115" s="8">
        <f t="shared" si="74"/>
        <v>0</v>
      </c>
      <c r="AD115" s="7">
        <f>(((AD111)+(AD112))+(AD113))+(AD114)</f>
        <v>3750</v>
      </c>
      <c r="AE115" s="7">
        <f>(((AE111)+(AE112))+(AE113))+(AE114)</f>
        <v>4583.34</v>
      </c>
      <c r="AF115" s="7">
        <f t="shared" si="75"/>
        <v>-833.34000000000015</v>
      </c>
      <c r="AG115" s="8">
        <f t="shared" si="76"/>
        <v>0.81818062810090453</v>
      </c>
      <c r="AH115" s="7">
        <f t="shared" si="77"/>
        <v>10360.67</v>
      </c>
      <c r="AI115" s="7">
        <f t="shared" si="78"/>
        <v>36666.720000000001</v>
      </c>
      <c r="AJ115" s="7">
        <f t="shared" si="79"/>
        <v>-26306.050000000003</v>
      </c>
      <c r="AK115" s="8">
        <f t="shared" si="80"/>
        <v>0.28256331627153997</v>
      </c>
    </row>
    <row r="116" spans="1:37" x14ac:dyDescent="0.3">
      <c r="A116" s="3" t="s">
        <v>122</v>
      </c>
      <c r="B116" s="4"/>
      <c r="C116" s="4"/>
      <c r="D116" s="5">
        <f t="shared" si="61"/>
        <v>0</v>
      </c>
      <c r="E116" s="6" t="str">
        <f t="shared" si="62"/>
        <v/>
      </c>
      <c r="F116" s="4"/>
      <c r="G116" s="4"/>
      <c r="H116" s="5">
        <f t="shared" si="63"/>
        <v>0</v>
      </c>
      <c r="I116" s="6" t="str">
        <f t="shared" si="64"/>
        <v/>
      </c>
      <c r="J116" s="4"/>
      <c r="K116" s="4"/>
      <c r="L116" s="5">
        <f t="shared" si="65"/>
        <v>0</v>
      </c>
      <c r="M116" s="6" t="str">
        <f t="shared" si="66"/>
        <v/>
      </c>
      <c r="N116" s="4"/>
      <c r="O116" s="4"/>
      <c r="P116" s="5">
        <f t="shared" si="67"/>
        <v>0</v>
      </c>
      <c r="Q116" s="6" t="str">
        <f t="shared" si="68"/>
        <v/>
      </c>
      <c r="R116" s="4"/>
      <c r="S116" s="4"/>
      <c r="T116" s="5">
        <f t="shared" si="69"/>
        <v>0</v>
      </c>
      <c r="U116" s="6" t="str">
        <f t="shared" si="70"/>
        <v/>
      </c>
      <c r="V116" s="4"/>
      <c r="W116" s="4"/>
      <c r="X116" s="5">
        <f t="shared" si="71"/>
        <v>0</v>
      </c>
      <c r="Y116" s="6" t="str">
        <f t="shared" si="72"/>
        <v/>
      </c>
      <c r="Z116" s="4"/>
      <c r="AA116" s="4"/>
      <c r="AB116" s="5">
        <f t="shared" si="73"/>
        <v>0</v>
      </c>
      <c r="AC116" s="6" t="str">
        <f t="shared" si="74"/>
        <v/>
      </c>
      <c r="AD116" s="4"/>
      <c r="AE116" s="4"/>
      <c r="AF116" s="5">
        <f t="shared" si="75"/>
        <v>0</v>
      </c>
      <c r="AG116" s="6" t="str">
        <f t="shared" si="76"/>
        <v/>
      </c>
      <c r="AH116" s="5">
        <f t="shared" si="77"/>
        <v>0</v>
      </c>
      <c r="AI116" s="5">
        <f t="shared" si="78"/>
        <v>0</v>
      </c>
      <c r="AJ116" s="5">
        <f t="shared" si="79"/>
        <v>0</v>
      </c>
      <c r="AK116" s="6" t="str">
        <f t="shared" si="80"/>
        <v/>
      </c>
    </row>
    <row r="117" spans="1:37" x14ac:dyDescent="0.3">
      <c r="A117" s="3" t="s">
        <v>123</v>
      </c>
      <c r="B117" s="5">
        <f>3.87</f>
        <v>3.87</v>
      </c>
      <c r="C117" s="5">
        <f>92.08</f>
        <v>92.08</v>
      </c>
      <c r="D117" s="5">
        <f t="shared" si="61"/>
        <v>-88.21</v>
      </c>
      <c r="E117" s="6">
        <f t="shared" si="62"/>
        <v>4.2028670721112077E-2</v>
      </c>
      <c r="F117" s="5">
        <f>3.74</f>
        <v>3.74</v>
      </c>
      <c r="G117" s="5">
        <f>92.08</f>
        <v>92.08</v>
      </c>
      <c r="H117" s="5">
        <f t="shared" si="63"/>
        <v>-88.34</v>
      </c>
      <c r="I117" s="6">
        <f t="shared" si="64"/>
        <v>4.061685490877498E-2</v>
      </c>
      <c r="J117" s="5">
        <f>3.74</f>
        <v>3.74</v>
      </c>
      <c r="K117" s="5">
        <f>92.08</f>
        <v>92.08</v>
      </c>
      <c r="L117" s="5">
        <f t="shared" si="65"/>
        <v>-88.34</v>
      </c>
      <c r="M117" s="6">
        <f t="shared" si="66"/>
        <v>4.061685490877498E-2</v>
      </c>
      <c r="N117" s="5">
        <f>6.5</f>
        <v>6.5</v>
      </c>
      <c r="O117" s="5">
        <f>92.08</f>
        <v>92.08</v>
      </c>
      <c r="P117" s="5">
        <f t="shared" si="67"/>
        <v>-85.58</v>
      </c>
      <c r="Q117" s="6">
        <f t="shared" si="68"/>
        <v>7.0590790616854915E-2</v>
      </c>
      <c r="R117" s="5">
        <f>114.78</f>
        <v>114.78</v>
      </c>
      <c r="S117" s="5">
        <f>92.08</f>
        <v>92.08</v>
      </c>
      <c r="T117" s="5">
        <f t="shared" si="69"/>
        <v>22.700000000000003</v>
      </c>
      <c r="U117" s="6">
        <f t="shared" si="70"/>
        <v>1.246524761077324</v>
      </c>
      <c r="V117" s="5">
        <f>23.37</f>
        <v>23.37</v>
      </c>
      <c r="W117" s="5">
        <f>92.08</f>
        <v>92.08</v>
      </c>
      <c r="X117" s="5">
        <f t="shared" si="71"/>
        <v>-68.709999999999994</v>
      </c>
      <c r="Y117" s="6">
        <f t="shared" si="72"/>
        <v>0.25380104257167679</v>
      </c>
      <c r="Z117" s="5">
        <f>3.74</f>
        <v>3.74</v>
      </c>
      <c r="AA117" s="5">
        <f>92.08</f>
        <v>92.08</v>
      </c>
      <c r="AB117" s="5">
        <f t="shared" si="73"/>
        <v>-88.34</v>
      </c>
      <c r="AC117" s="6">
        <f t="shared" si="74"/>
        <v>4.061685490877498E-2</v>
      </c>
      <c r="AD117" s="5">
        <f>10.23</f>
        <v>10.23</v>
      </c>
      <c r="AE117" s="5">
        <f>92.08</f>
        <v>92.08</v>
      </c>
      <c r="AF117" s="5">
        <f t="shared" si="75"/>
        <v>-81.849999999999994</v>
      </c>
      <c r="AG117" s="6">
        <f t="shared" si="76"/>
        <v>0.11109904430929628</v>
      </c>
      <c r="AH117" s="5">
        <f t="shared" si="77"/>
        <v>169.97</v>
      </c>
      <c r="AI117" s="5">
        <f t="shared" si="78"/>
        <v>736.6400000000001</v>
      </c>
      <c r="AJ117" s="5">
        <f t="shared" si="79"/>
        <v>-566.67000000000007</v>
      </c>
      <c r="AK117" s="6">
        <f t="shared" si="80"/>
        <v>0.23073685925282361</v>
      </c>
    </row>
    <row r="118" spans="1:37" x14ac:dyDescent="0.3">
      <c r="A118" s="3" t="s">
        <v>124</v>
      </c>
      <c r="B118" s="5">
        <f>2.07</f>
        <v>2.0699999999999998</v>
      </c>
      <c r="C118" s="5">
        <f>49.58</f>
        <v>49.58</v>
      </c>
      <c r="D118" s="5">
        <f t="shared" si="61"/>
        <v>-47.51</v>
      </c>
      <c r="E118" s="6">
        <f t="shared" si="62"/>
        <v>4.1750705929810408E-2</v>
      </c>
      <c r="F118" s="5">
        <f>2.01</f>
        <v>2.0099999999999998</v>
      </c>
      <c r="G118" s="5">
        <f>49.58</f>
        <v>49.58</v>
      </c>
      <c r="H118" s="5">
        <f t="shared" si="63"/>
        <v>-47.57</v>
      </c>
      <c r="I118" s="6">
        <f t="shared" si="64"/>
        <v>4.0540540540540536E-2</v>
      </c>
      <c r="J118" s="5">
        <f>2</f>
        <v>2</v>
      </c>
      <c r="K118" s="5">
        <f>49.58</f>
        <v>49.58</v>
      </c>
      <c r="L118" s="5">
        <f t="shared" si="65"/>
        <v>-47.58</v>
      </c>
      <c r="M118" s="6">
        <f t="shared" si="66"/>
        <v>4.0338846308995563E-2</v>
      </c>
      <c r="N118" s="5">
        <f>3.5</f>
        <v>3.5</v>
      </c>
      <c r="O118" s="5">
        <f>49.58</f>
        <v>49.58</v>
      </c>
      <c r="P118" s="5">
        <f t="shared" si="67"/>
        <v>-46.08</v>
      </c>
      <c r="Q118" s="6">
        <f t="shared" si="68"/>
        <v>7.0592981040742242E-2</v>
      </c>
      <c r="R118" s="5">
        <f>61.81</f>
        <v>61.81</v>
      </c>
      <c r="S118" s="5">
        <f>49.58</f>
        <v>49.58</v>
      </c>
      <c r="T118" s="5">
        <f t="shared" si="69"/>
        <v>12.230000000000004</v>
      </c>
      <c r="U118" s="6">
        <f t="shared" si="70"/>
        <v>1.2466720451795079</v>
      </c>
      <c r="V118" s="5">
        <f>12.58</f>
        <v>12.58</v>
      </c>
      <c r="W118" s="5">
        <f>49.58</f>
        <v>49.58</v>
      </c>
      <c r="X118" s="5">
        <f t="shared" si="71"/>
        <v>-37</v>
      </c>
      <c r="Y118" s="6">
        <f t="shared" si="72"/>
        <v>0.2537313432835821</v>
      </c>
      <c r="Z118" s="5">
        <f>2</f>
        <v>2</v>
      </c>
      <c r="AA118" s="5">
        <f>49.58</f>
        <v>49.58</v>
      </c>
      <c r="AB118" s="5">
        <f t="shared" si="73"/>
        <v>-47.58</v>
      </c>
      <c r="AC118" s="6">
        <f t="shared" si="74"/>
        <v>4.0338846308995563E-2</v>
      </c>
      <c r="AD118" s="5">
        <f>5.51</f>
        <v>5.51</v>
      </c>
      <c r="AE118" s="5">
        <f>49.58</f>
        <v>49.58</v>
      </c>
      <c r="AF118" s="5">
        <f t="shared" si="75"/>
        <v>-44.07</v>
      </c>
      <c r="AG118" s="6">
        <f t="shared" si="76"/>
        <v>0.11113352158128277</v>
      </c>
      <c r="AH118" s="5">
        <f t="shared" si="77"/>
        <v>91.48</v>
      </c>
      <c r="AI118" s="5">
        <f t="shared" si="78"/>
        <v>396.63999999999993</v>
      </c>
      <c r="AJ118" s="5">
        <f t="shared" si="79"/>
        <v>-305.15999999999991</v>
      </c>
      <c r="AK118" s="6">
        <f t="shared" si="80"/>
        <v>0.23063735377168218</v>
      </c>
    </row>
    <row r="119" spans="1:37" x14ac:dyDescent="0.3">
      <c r="A119" s="3" t="s">
        <v>125</v>
      </c>
      <c r="B119" s="5">
        <f>0</f>
        <v>0</v>
      </c>
      <c r="C119" s="4"/>
      <c r="D119" s="5">
        <f t="shared" si="61"/>
        <v>0</v>
      </c>
      <c r="E119" s="6" t="str">
        <f t="shared" si="62"/>
        <v/>
      </c>
      <c r="F119" s="5">
        <f>0</f>
        <v>0</v>
      </c>
      <c r="G119" s="4"/>
      <c r="H119" s="5">
        <f t="shared" si="63"/>
        <v>0</v>
      </c>
      <c r="I119" s="6" t="str">
        <f t="shared" si="64"/>
        <v/>
      </c>
      <c r="J119" s="5">
        <f>0</f>
        <v>0</v>
      </c>
      <c r="K119" s="4"/>
      <c r="L119" s="5">
        <f t="shared" si="65"/>
        <v>0</v>
      </c>
      <c r="M119" s="6" t="str">
        <f t="shared" si="66"/>
        <v/>
      </c>
      <c r="N119" s="5">
        <f>0</f>
        <v>0</v>
      </c>
      <c r="O119" s="4"/>
      <c r="P119" s="5">
        <f t="shared" si="67"/>
        <v>0</v>
      </c>
      <c r="Q119" s="6" t="str">
        <f t="shared" si="68"/>
        <v/>
      </c>
      <c r="R119" s="5">
        <f>0</f>
        <v>0</v>
      </c>
      <c r="S119" s="4"/>
      <c r="T119" s="5">
        <f t="shared" si="69"/>
        <v>0</v>
      </c>
      <c r="U119" s="6" t="str">
        <f t="shared" si="70"/>
        <v/>
      </c>
      <c r="V119" s="5">
        <f>0</f>
        <v>0</v>
      </c>
      <c r="W119" s="4"/>
      <c r="X119" s="5">
        <f t="shared" si="71"/>
        <v>0</v>
      </c>
      <c r="Y119" s="6" t="str">
        <f t="shared" si="72"/>
        <v/>
      </c>
      <c r="Z119" s="5">
        <f>0</f>
        <v>0</v>
      </c>
      <c r="AA119" s="4"/>
      <c r="AB119" s="5">
        <f t="shared" si="73"/>
        <v>0</v>
      </c>
      <c r="AC119" s="6" t="str">
        <f t="shared" si="74"/>
        <v/>
      </c>
      <c r="AD119" s="5">
        <f>0.01</f>
        <v>0.01</v>
      </c>
      <c r="AE119" s="4"/>
      <c r="AF119" s="5">
        <f t="shared" si="75"/>
        <v>0.01</v>
      </c>
      <c r="AG119" s="6" t="str">
        <f t="shared" si="76"/>
        <v/>
      </c>
      <c r="AH119" s="5">
        <f t="shared" si="77"/>
        <v>0.01</v>
      </c>
      <c r="AI119" s="5">
        <f t="shared" si="78"/>
        <v>0</v>
      </c>
      <c r="AJ119" s="5">
        <f t="shared" si="79"/>
        <v>0.01</v>
      </c>
      <c r="AK119" s="6" t="str">
        <f t="shared" si="80"/>
        <v/>
      </c>
    </row>
    <row r="120" spans="1:37" x14ac:dyDescent="0.3">
      <c r="A120" s="3" t="s">
        <v>126</v>
      </c>
      <c r="B120" s="7">
        <f>(((B116)+(B117))+(B118))+(B119)</f>
        <v>5.9399999999999995</v>
      </c>
      <c r="C120" s="7">
        <f>(((C116)+(C117))+(C118))+(C119)</f>
        <v>141.66</v>
      </c>
      <c r="D120" s="7">
        <f t="shared" si="61"/>
        <v>-135.72</v>
      </c>
      <c r="E120" s="8">
        <f t="shared" si="62"/>
        <v>4.1931385006353239E-2</v>
      </c>
      <c r="F120" s="7">
        <f>(((F116)+(F117))+(F118))+(F119)</f>
        <v>5.75</v>
      </c>
      <c r="G120" s="7">
        <f>(((G116)+(G117))+(G118))+(G119)</f>
        <v>141.66</v>
      </c>
      <c r="H120" s="7">
        <f t="shared" si="63"/>
        <v>-135.91</v>
      </c>
      <c r="I120" s="8">
        <f t="shared" si="64"/>
        <v>4.0590145418607934E-2</v>
      </c>
      <c r="J120" s="7">
        <f>(((J116)+(J117))+(J118))+(J119)</f>
        <v>5.74</v>
      </c>
      <c r="K120" s="7">
        <f>(((K116)+(K117))+(K118))+(K119)</f>
        <v>141.66</v>
      </c>
      <c r="L120" s="7">
        <f t="shared" si="65"/>
        <v>-135.91999999999999</v>
      </c>
      <c r="M120" s="8">
        <f t="shared" si="66"/>
        <v>4.0519553861358186E-2</v>
      </c>
      <c r="N120" s="7">
        <f>(((N116)+(N117))+(N118))+(N119)</f>
        <v>10</v>
      </c>
      <c r="O120" s="7">
        <f>(((O116)+(O117))+(O118))+(O119)</f>
        <v>141.66</v>
      </c>
      <c r="P120" s="7">
        <f t="shared" si="67"/>
        <v>-131.66</v>
      </c>
      <c r="Q120" s="8">
        <f t="shared" si="68"/>
        <v>7.0591557249752926E-2</v>
      </c>
      <c r="R120" s="7">
        <f>(((R116)+(R117))+(R118))+(R119)</f>
        <v>176.59</v>
      </c>
      <c r="S120" s="7">
        <f>(((S116)+(S117))+(S118))+(S119)</f>
        <v>141.66</v>
      </c>
      <c r="T120" s="7">
        <f t="shared" si="69"/>
        <v>34.930000000000007</v>
      </c>
      <c r="U120" s="8">
        <f t="shared" si="70"/>
        <v>1.246576309473387</v>
      </c>
      <c r="V120" s="7">
        <f>(((V116)+(V117))+(V118))+(V119)</f>
        <v>35.950000000000003</v>
      </c>
      <c r="W120" s="7">
        <f>(((W116)+(W117))+(W118))+(W119)</f>
        <v>141.66</v>
      </c>
      <c r="X120" s="7">
        <f t="shared" si="71"/>
        <v>-105.71</v>
      </c>
      <c r="Y120" s="8">
        <f t="shared" si="72"/>
        <v>0.25377664831286179</v>
      </c>
      <c r="Z120" s="7">
        <f>(((Z116)+(Z117))+(Z118))+(Z119)</f>
        <v>5.74</v>
      </c>
      <c r="AA120" s="7">
        <f>(((AA116)+(AA117))+(AA118))+(AA119)</f>
        <v>141.66</v>
      </c>
      <c r="AB120" s="7">
        <f t="shared" si="73"/>
        <v>-135.91999999999999</v>
      </c>
      <c r="AC120" s="8">
        <f t="shared" si="74"/>
        <v>4.0519553861358186E-2</v>
      </c>
      <c r="AD120" s="7">
        <f>(((AD116)+(AD117))+(AD118))+(AD119)</f>
        <v>15.75</v>
      </c>
      <c r="AE120" s="7">
        <f>(((AE116)+(AE117))+(AE118))+(AE119)</f>
        <v>141.66</v>
      </c>
      <c r="AF120" s="7">
        <f t="shared" si="75"/>
        <v>-125.91</v>
      </c>
      <c r="AG120" s="8">
        <f t="shared" si="76"/>
        <v>0.11118170266836086</v>
      </c>
      <c r="AH120" s="7">
        <f t="shared" si="77"/>
        <v>261.46000000000004</v>
      </c>
      <c r="AI120" s="7">
        <f t="shared" si="78"/>
        <v>1133.28</v>
      </c>
      <c r="AJ120" s="7">
        <f t="shared" si="79"/>
        <v>-871.81999999999994</v>
      </c>
      <c r="AK120" s="8">
        <f t="shared" si="80"/>
        <v>0.23071085698150504</v>
      </c>
    </row>
    <row r="121" spans="1:37" x14ac:dyDescent="0.3">
      <c r="A121" s="3" t="s">
        <v>127</v>
      </c>
      <c r="B121" s="7">
        <f>(((((((((((((((((((((B18)+(B23))+(B28))+(B33))+(B38))+(B43))+(B48))+(B53))+(B58))+(B63))+(B68))+(B72))+(B77))+(B82))+(B86))+(B91))+(B96))+(B101))+(B106))+(B110))+(B115))+(B120)</f>
        <v>14122.08</v>
      </c>
      <c r="C121" s="7">
        <f>(((((((((((((((((((((C18)+(C23))+(C28))+(C33))+(C38))+(C43))+(C48))+(C53))+(C58))+(C63))+(C68))+(C72))+(C77))+(C82))+(C86))+(C91))+(C96))+(C101))+(C106))+(C110))+(C115))+(C120)</f>
        <v>29186.600000000002</v>
      </c>
      <c r="D121" s="7">
        <f t="shared" si="61"/>
        <v>-15064.520000000002</v>
      </c>
      <c r="E121" s="8">
        <f t="shared" si="62"/>
        <v>0.4838549197234347</v>
      </c>
      <c r="F121" s="7">
        <f>(((((((((((((((((((((F18)+(F23))+(F28))+(F33))+(F38))+(F43))+(F48))+(F53))+(F58))+(F63))+(F68))+(F72))+(F77))+(F82))+(F86))+(F91))+(F96))+(F101))+(F106))+(F110))+(F115))+(F120)</f>
        <v>18344.3</v>
      </c>
      <c r="G121" s="7">
        <f>(((((((((((((((((((((G18)+(G23))+(G28))+(G33))+(G38))+(G43))+(G48))+(G53))+(G58))+(G63))+(G68))+(G72))+(G77))+(G82))+(G86))+(G91))+(G96))+(G101))+(G106))+(G110))+(G115))+(G120)</f>
        <v>29186.600000000002</v>
      </c>
      <c r="H121" s="7">
        <f t="shared" si="63"/>
        <v>-10842.300000000003</v>
      </c>
      <c r="I121" s="8">
        <f t="shared" si="64"/>
        <v>0.62851788149356203</v>
      </c>
      <c r="J121" s="7">
        <f>(((((((((((((((((((((J18)+(J23))+(J28))+(J33))+(J38))+(J43))+(J48))+(J53))+(J58))+(J63))+(J68))+(J72))+(J77))+(J82))+(J86))+(J91))+(J96))+(J101))+(J106))+(J110))+(J115))+(J120)</f>
        <v>25645.170000000006</v>
      </c>
      <c r="K121" s="7">
        <f>(((((((((((((((((((((K18)+(K23))+(K28))+(K33))+(K38))+(K43))+(K48))+(K53))+(K58))+(K63))+(K68))+(K72))+(K77))+(K82))+(K86))+(K91))+(K96))+(K101))+(K106))+(K110))+(K115))+(K120)</f>
        <v>29186.600000000002</v>
      </c>
      <c r="L121" s="7">
        <f t="shared" si="65"/>
        <v>-3541.4299999999967</v>
      </c>
      <c r="M121" s="8">
        <f t="shared" si="66"/>
        <v>0.87866246839302975</v>
      </c>
      <c r="N121" s="7">
        <f>(((((((((((((((((((((N18)+(N23))+(N28))+(N33))+(N38))+(N43))+(N48))+(N53))+(N58))+(N63))+(N68))+(N72))+(N77))+(N82))+(N86))+(N91))+(N96))+(N101))+(N106))+(N110))+(N115))+(N120)</f>
        <v>26837.660000000007</v>
      </c>
      <c r="O121" s="7">
        <f>(((((((((((((((((((((O18)+(O23))+(O28))+(O33))+(O38))+(O43))+(O48))+(O53))+(O58))+(O63))+(O68))+(O72))+(O77))+(O82))+(O86))+(O91))+(O96))+(O101))+(O106))+(O110))+(O115))+(O120)</f>
        <v>29186.600000000002</v>
      </c>
      <c r="P121" s="7">
        <f t="shared" si="67"/>
        <v>-2348.9399999999951</v>
      </c>
      <c r="Q121" s="8">
        <f t="shared" si="68"/>
        <v>0.91951991667409039</v>
      </c>
      <c r="R121" s="7">
        <f>(((((((((((((((((((((R18)+(R23))+(R28))+(R33))+(R38))+(R43))+(R48))+(R53))+(R58))+(R63))+(R68))+(R72))+(R77))+(R82))+(R86))+(R91))+(R96))+(R101))+(R106))+(R110))+(R115))+(R120)</f>
        <v>19213.48</v>
      </c>
      <c r="S121" s="7">
        <f>(((((((((((((((((((((S18)+(S23))+(S28))+(S33))+(S38))+(S43))+(S48))+(S53))+(S58))+(S63))+(S68))+(S72))+(S77))+(S82))+(S86))+(S91))+(S96))+(S101))+(S106))+(S110))+(S115))+(S120)</f>
        <v>29186.600000000002</v>
      </c>
      <c r="T121" s="7">
        <f t="shared" si="69"/>
        <v>-9973.1200000000026</v>
      </c>
      <c r="U121" s="8">
        <f t="shared" si="70"/>
        <v>0.65829798606209688</v>
      </c>
      <c r="V121" s="7">
        <f>(((((((((((((((((((((V18)+(V23))+(V28))+(V33))+(V38))+(V43))+(V48))+(V53))+(V58))+(V63))+(V68))+(V72))+(V77))+(V82))+(V86))+(V91))+(V96))+(V101))+(V106))+(V110))+(V115))+(V120)</f>
        <v>23046.550000000003</v>
      </c>
      <c r="W121" s="7">
        <f>(((((((((((((((((((((W18)+(W23))+(W28))+(W33))+(W38))+(W43))+(W48))+(W53))+(W58))+(W63))+(W68))+(W72))+(W77))+(W82))+(W86))+(W91))+(W96))+(W101))+(W106))+(W110))+(W115))+(W120)</f>
        <v>29186.600000000002</v>
      </c>
      <c r="X121" s="7">
        <f t="shared" si="71"/>
        <v>-6140.0499999999993</v>
      </c>
      <c r="Y121" s="8">
        <f t="shared" si="72"/>
        <v>0.78962777438961718</v>
      </c>
      <c r="Z121" s="7">
        <f>(((((((((((((((((((((Z18)+(Z23))+(Z28))+(Z33))+(Z38))+(Z43))+(Z48))+(Z53))+(Z58))+(Z63))+(Z68))+(Z72))+(Z77))+(Z82))+(Z86))+(Z91))+(Z96))+(Z101))+(Z106))+(Z110))+(Z115))+(Z120)</f>
        <v>16103.130000000001</v>
      </c>
      <c r="AA121" s="7">
        <f>(((((((((((((((((((((AA18)+(AA23))+(AA28))+(AA33))+(AA38))+(AA43))+(AA48))+(AA53))+(AA58))+(AA63))+(AA68))+(AA72))+(AA77))+(AA82))+(AA86))+(AA91))+(AA96))+(AA101))+(AA106))+(AA110))+(AA115))+(AA120)</f>
        <v>29186.600000000002</v>
      </c>
      <c r="AB121" s="7">
        <f t="shared" si="73"/>
        <v>-13083.470000000001</v>
      </c>
      <c r="AC121" s="8">
        <f t="shared" si="74"/>
        <v>0.55173024607182752</v>
      </c>
      <c r="AD121" s="7">
        <f>(((((((((((((((((((((AD18)+(AD23))+(AD28))+(AD33))+(AD38))+(AD43))+(AD48))+(AD53))+(AD58))+(AD63))+(AD68))+(AD72))+(AD77))+(AD82))+(AD86))+(AD91))+(AD96))+(AD101))+(AD106))+(AD110))+(AD115))+(AD120)</f>
        <v>24335.08</v>
      </c>
      <c r="AE121" s="7">
        <f>(((((((((((((((((((((AE18)+(AE23))+(AE28))+(AE33))+(AE38))+(AE43))+(AE48))+(AE53))+(AE58))+(AE63))+(AE68))+(AE72))+(AE77))+(AE82))+(AE86))+(AE91))+(AE96))+(AE101))+(AE106))+(AE110))+(AE115))+(AE120)</f>
        <v>29186.600000000002</v>
      </c>
      <c r="AF121" s="7">
        <f t="shared" si="75"/>
        <v>-4851.5200000000004</v>
      </c>
      <c r="AG121" s="8">
        <f t="shared" si="76"/>
        <v>0.83377577381401058</v>
      </c>
      <c r="AH121" s="7">
        <f t="shared" si="77"/>
        <v>167647.45000000001</v>
      </c>
      <c r="AI121" s="7">
        <f t="shared" si="78"/>
        <v>233492.80000000002</v>
      </c>
      <c r="AJ121" s="7">
        <f t="shared" si="79"/>
        <v>-65845.350000000006</v>
      </c>
      <c r="AK121" s="8">
        <f t="shared" si="80"/>
        <v>0.71799837082770857</v>
      </c>
    </row>
    <row r="122" spans="1:37" x14ac:dyDescent="0.3">
      <c r="A122" s="3" t="s">
        <v>128</v>
      </c>
      <c r="B122" s="7">
        <f>(B12)-(B121)</f>
        <v>9.750000000001819</v>
      </c>
      <c r="C122" s="7">
        <f>(C12)-(C121)</f>
        <v>0</v>
      </c>
      <c r="D122" s="7">
        <f t="shared" si="61"/>
        <v>9.750000000001819</v>
      </c>
      <c r="E122" s="8" t="str">
        <f t="shared" si="62"/>
        <v/>
      </c>
      <c r="F122" s="7">
        <f>(F12)-(F121)</f>
        <v>-203.41999999999462</v>
      </c>
      <c r="G122" s="7">
        <f>(G12)-(G121)</f>
        <v>0</v>
      </c>
      <c r="H122" s="7">
        <f t="shared" si="63"/>
        <v>-203.41999999999462</v>
      </c>
      <c r="I122" s="8" t="str">
        <f t="shared" si="64"/>
        <v/>
      </c>
      <c r="J122" s="7">
        <f>(J12)-(J121)</f>
        <v>8.0099999999911233</v>
      </c>
      <c r="K122" s="7">
        <f>(K12)-(K121)</f>
        <v>0</v>
      </c>
      <c r="L122" s="7">
        <f t="shared" si="65"/>
        <v>8.0099999999911233</v>
      </c>
      <c r="M122" s="8" t="str">
        <f t="shared" si="66"/>
        <v/>
      </c>
      <c r="N122" s="7">
        <f>(N12)-(N121)</f>
        <v>4.7799999999915599</v>
      </c>
      <c r="O122" s="7">
        <f>(O12)-(O121)</f>
        <v>0</v>
      </c>
      <c r="P122" s="7">
        <f t="shared" si="67"/>
        <v>4.7799999999915599</v>
      </c>
      <c r="Q122" s="8" t="str">
        <f t="shared" si="68"/>
        <v/>
      </c>
      <c r="R122" s="7">
        <f>(R12)-(R121)</f>
        <v>3.1500000000014552</v>
      </c>
      <c r="S122" s="7">
        <f>(S12)-(S121)</f>
        <v>0</v>
      </c>
      <c r="T122" s="7">
        <f t="shared" si="69"/>
        <v>3.1500000000014552</v>
      </c>
      <c r="U122" s="8" t="str">
        <f t="shared" si="70"/>
        <v/>
      </c>
      <c r="V122" s="7">
        <f>(V12)-(V121)</f>
        <v>-3745.5400000000045</v>
      </c>
      <c r="W122" s="7">
        <f>(W12)-(W121)</f>
        <v>0</v>
      </c>
      <c r="X122" s="7">
        <f t="shared" si="71"/>
        <v>-3745.5400000000045</v>
      </c>
      <c r="Y122" s="8" t="str">
        <f t="shared" si="72"/>
        <v/>
      </c>
      <c r="Z122" s="7">
        <f>(Z12)-(Z121)</f>
        <v>3.7600000000002183</v>
      </c>
      <c r="AA122" s="7">
        <f>(AA12)-(AA121)</f>
        <v>0</v>
      </c>
      <c r="AB122" s="7">
        <f t="shared" si="73"/>
        <v>3.7600000000002183</v>
      </c>
      <c r="AC122" s="8" t="str">
        <f t="shared" si="74"/>
        <v/>
      </c>
      <c r="AD122" s="7">
        <f>(AD12)-(AD121)</f>
        <v>-3746.2599999999984</v>
      </c>
      <c r="AE122" s="7">
        <f>(AE12)-(AE121)</f>
        <v>0</v>
      </c>
      <c r="AF122" s="7">
        <f t="shared" si="75"/>
        <v>-3746.2599999999984</v>
      </c>
      <c r="AG122" s="8" t="str">
        <f t="shared" si="76"/>
        <v/>
      </c>
      <c r="AH122" s="7">
        <f t="shared" si="77"/>
        <v>-7665.7700000000114</v>
      </c>
      <c r="AI122" s="7">
        <f t="shared" si="78"/>
        <v>0</v>
      </c>
      <c r="AJ122" s="7">
        <f t="shared" si="79"/>
        <v>-7665.7700000000114</v>
      </c>
      <c r="AK122" s="8" t="str">
        <f t="shared" si="80"/>
        <v/>
      </c>
    </row>
    <row r="123" spans="1:37" x14ac:dyDescent="0.3">
      <c r="A123" s="3" t="s">
        <v>129</v>
      </c>
      <c r="B123" s="9">
        <f>(B122)+(0)</f>
        <v>9.750000000001819</v>
      </c>
      <c r="C123" s="9">
        <f>(C122)+(0)</f>
        <v>0</v>
      </c>
      <c r="D123" s="9">
        <f t="shared" si="61"/>
        <v>9.750000000001819</v>
      </c>
      <c r="E123" s="10" t="str">
        <f t="shared" si="62"/>
        <v/>
      </c>
      <c r="F123" s="9">
        <f>(F122)+(0)</f>
        <v>-203.41999999999462</v>
      </c>
      <c r="G123" s="9">
        <f>(G122)+(0)</f>
        <v>0</v>
      </c>
      <c r="H123" s="9">
        <f t="shared" si="63"/>
        <v>-203.41999999999462</v>
      </c>
      <c r="I123" s="10" t="str">
        <f t="shared" si="64"/>
        <v/>
      </c>
      <c r="J123" s="9">
        <f>(J122)+(0)</f>
        <v>8.0099999999911233</v>
      </c>
      <c r="K123" s="9">
        <f>(K122)+(0)</f>
        <v>0</v>
      </c>
      <c r="L123" s="9">
        <f t="shared" si="65"/>
        <v>8.0099999999911233</v>
      </c>
      <c r="M123" s="10" t="str">
        <f t="shared" si="66"/>
        <v/>
      </c>
      <c r="N123" s="9">
        <f>(N122)+(0)</f>
        <v>4.7799999999915599</v>
      </c>
      <c r="O123" s="9">
        <f>(O122)+(0)</f>
        <v>0</v>
      </c>
      <c r="P123" s="9">
        <f t="shared" si="67"/>
        <v>4.7799999999915599</v>
      </c>
      <c r="Q123" s="10" t="str">
        <f t="shared" si="68"/>
        <v/>
      </c>
      <c r="R123" s="9">
        <f>(R122)+(0)</f>
        <v>3.1500000000014552</v>
      </c>
      <c r="S123" s="9">
        <f>(S122)+(0)</f>
        <v>0</v>
      </c>
      <c r="T123" s="9">
        <f t="shared" si="69"/>
        <v>3.1500000000014552</v>
      </c>
      <c r="U123" s="10" t="str">
        <f t="shared" si="70"/>
        <v/>
      </c>
      <c r="V123" s="9">
        <f>(V122)+(0)</f>
        <v>-3745.5400000000045</v>
      </c>
      <c r="W123" s="9">
        <f>(W122)+(0)</f>
        <v>0</v>
      </c>
      <c r="X123" s="9">
        <f t="shared" si="71"/>
        <v>-3745.5400000000045</v>
      </c>
      <c r="Y123" s="10" t="str">
        <f t="shared" si="72"/>
        <v/>
      </c>
      <c r="Z123" s="9">
        <f>(Z122)+(0)</f>
        <v>3.7600000000002183</v>
      </c>
      <c r="AA123" s="9">
        <f>(AA122)+(0)</f>
        <v>0</v>
      </c>
      <c r="AB123" s="9">
        <f t="shared" si="73"/>
        <v>3.7600000000002183</v>
      </c>
      <c r="AC123" s="10" t="str">
        <f t="shared" si="74"/>
        <v/>
      </c>
      <c r="AD123" s="9">
        <f>(AD122)+(0)</f>
        <v>-3746.2599999999984</v>
      </c>
      <c r="AE123" s="9">
        <f>(AE122)+(0)</f>
        <v>0</v>
      </c>
      <c r="AF123" s="9">
        <f t="shared" si="75"/>
        <v>-3746.2599999999984</v>
      </c>
      <c r="AG123" s="10" t="str">
        <f t="shared" si="76"/>
        <v/>
      </c>
      <c r="AH123" s="9">
        <f t="shared" si="77"/>
        <v>-7665.7700000000114</v>
      </c>
      <c r="AI123" s="9">
        <f t="shared" si="78"/>
        <v>0</v>
      </c>
      <c r="AJ123" s="9">
        <f t="shared" si="79"/>
        <v>-7665.7700000000114</v>
      </c>
      <c r="AK123" s="10" t="str">
        <f t="shared" si="80"/>
        <v/>
      </c>
    </row>
    <row r="124" spans="1:37" x14ac:dyDescent="0.3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7" spans="1:37" x14ac:dyDescent="0.3">
      <c r="A127" s="13" t="s">
        <v>130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</sheetData>
  <mergeCells count="13">
    <mergeCell ref="A1:AK1"/>
    <mergeCell ref="A2:AK2"/>
    <mergeCell ref="A3:AK3"/>
    <mergeCell ref="V5:Y5"/>
    <mergeCell ref="Z5:AC5"/>
    <mergeCell ref="AD5:AG5"/>
    <mergeCell ref="AH5:AK5"/>
    <mergeCell ref="A127:AK127"/>
    <mergeCell ref="B5:E5"/>
    <mergeCell ref="F5:I5"/>
    <mergeCell ref="J5:M5"/>
    <mergeCell ref="N5:Q5"/>
    <mergeCell ref="R5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brad Jacokes</cp:lastModifiedBy>
  <dcterms:created xsi:type="dcterms:W3CDTF">2021-06-16T14:35:33Z</dcterms:created>
  <dcterms:modified xsi:type="dcterms:W3CDTF">2021-06-16T14:39:05Z</dcterms:modified>
</cp:coreProperties>
</file>