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cy Brown\Desktop\"/>
    </mc:Choice>
  </mc:AlternateContent>
  <xr:revisionPtr revIDLastSave="0" documentId="13_ncr:1_{AC0CAB63-36BF-4224-8ED9-E383E7B975CB}" xr6:coauthVersionLast="45" xr6:coauthVersionMax="45" xr10:uidLastSave="{00000000-0000-0000-0000-000000000000}"/>
  <workbookProtection lockStructure="1"/>
  <bookViews>
    <workbookView xWindow="-120" yWindow="-120" windowWidth="25440" windowHeight="15390" xr2:uid="{00000000-000D-0000-FFFF-FFFF00000000}"/>
  </bookViews>
  <sheets>
    <sheet name="Budget vs. Actuals" sheetId="1" r:id="rId1"/>
  </sheets>
  <calcPr calcId="191028" refMode="R1C1" iterateCount="0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Y134" i="1" l="1"/>
  <c r="BA134" i="1"/>
  <c r="AW134" i="1"/>
  <c r="AT134" i="1"/>
  <c r="AS134" i="1"/>
  <c r="AR134" i="1"/>
  <c r="AO134" i="1"/>
  <c r="AN134" i="1"/>
  <c r="AK134" i="1"/>
  <c r="AJ134" i="1"/>
  <c r="AG134" i="1"/>
  <c r="AF134" i="1"/>
  <c r="AC134" i="1"/>
  <c r="AB134" i="1"/>
  <c r="Y134" i="1"/>
  <c r="X134" i="1"/>
  <c r="U134" i="1"/>
  <c r="T134" i="1"/>
  <c r="Q134" i="1"/>
  <c r="P134" i="1"/>
  <c r="M134" i="1"/>
  <c r="L134" i="1"/>
  <c r="I134" i="1"/>
  <c r="H134" i="1"/>
  <c r="E134" i="1"/>
  <c r="D134" i="1"/>
  <c r="F133" i="1"/>
  <c r="AY132" i="1"/>
  <c r="BA132" i="1"/>
  <c r="AW132" i="1"/>
  <c r="AT132" i="1"/>
  <c r="AV132" i="1"/>
  <c r="AS132" i="1"/>
  <c r="AP132" i="1"/>
  <c r="AR132" i="1"/>
  <c r="AO132" i="1"/>
  <c r="AL132" i="1"/>
  <c r="AN132" i="1"/>
  <c r="AK132" i="1"/>
  <c r="AH132" i="1"/>
  <c r="AJ132" i="1"/>
  <c r="AG132" i="1"/>
  <c r="AD132" i="1"/>
  <c r="AF132" i="1"/>
  <c r="AC132" i="1"/>
  <c r="Z132" i="1"/>
  <c r="AB132" i="1"/>
  <c r="Y132" i="1"/>
  <c r="V132" i="1"/>
  <c r="X132" i="1"/>
  <c r="U132" i="1"/>
  <c r="R132" i="1"/>
  <c r="T132" i="1"/>
  <c r="Q132" i="1"/>
  <c r="N132" i="1"/>
  <c r="P132" i="1"/>
  <c r="M132" i="1"/>
  <c r="J132" i="1"/>
  <c r="L132" i="1"/>
  <c r="I132" i="1"/>
  <c r="H132" i="1"/>
  <c r="E132" i="1"/>
  <c r="B132" i="1"/>
  <c r="AY131" i="1"/>
  <c r="BA131" i="1"/>
  <c r="AW131" i="1"/>
  <c r="AT131" i="1"/>
  <c r="AV131" i="1"/>
  <c r="AS131" i="1"/>
  <c r="AP131" i="1"/>
  <c r="AR131" i="1"/>
  <c r="AO131" i="1"/>
  <c r="AL131" i="1"/>
  <c r="AN131" i="1"/>
  <c r="AK131" i="1"/>
  <c r="AH131" i="1"/>
  <c r="AJ131" i="1"/>
  <c r="AG131" i="1"/>
  <c r="AD131" i="1"/>
  <c r="AF131" i="1"/>
  <c r="AC131" i="1"/>
  <c r="Z131" i="1"/>
  <c r="AB131" i="1"/>
  <c r="Y131" i="1"/>
  <c r="V131" i="1"/>
  <c r="X131" i="1"/>
  <c r="U131" i="1"/>
  <c r="R131" i="1"/>
  <c r="T131" i="1"/>
  <c r="Q131" i="1"/>
  <c r="N131" i="1"/>
  <c r="P131" i="1"/>
  <c r="M131" i="1"/>
  <c r="J131" i="1"/>
  <c r="L131" i="1"/>
  <c r="I131" i="1"/>
  <c r="H131" i="1"/>
  <c r="E131" i="1"/>
  <c r="B131" i="1"/>
  <c r="AY130" i="1"/>
  <c r="BA130" i="1"/>
  <c r="AW130" i="1"/>
  <c r="AT130" i="1"/>
  <c r="AS130" i="1"/>
  <c r="AP130" i="1"/>
  <c r="AO130" i="1"/>
  <c r="AL130" i="1"/>
  <c r="AK130" i="1"/>
  <c r="AH130" i="1"/>
  <c r="AG130" i="1"/>
  <c r="AD130" i="1"/>
  <c r="AC130" i="1"/>
  <c r="Z130" i="1"/>
  <c r="Y130" i="1"/>
  <c r="V130" i="1"/>
  <c r="U130" i="1"/>
  <c r="R130" i="1"/>
  <c r="Q130" i="1"/>
  <c r="N130" i="1"/>
  <c r="M130" i="1"/>
  <c r="J130" i="1"/>
  <c r="I130" i="1"/>
  <c r="H130" i="1"/>
  <c r="E130" i="1"/>
  <c r="B130" i="1"/>
  <c r="AX129" i="1"/>
  <c r="AU129" i="1"/>
  <c r="AQ129" i="1"/>
  <c r="AM129" i="1"/>
  <c r="AI129" i="1"/>
  <c r="AE129" i="1"/>
  <c r="AA129" i="1"/>
  <c r="W129" i="1"/>
  <c r="S129" i="1"/>
  <c r="O129" i="1"/>
  <c r="K129" i="1"/>
  <c r="G129" i="1"/>
  <c r="C129" i="1"/>
  <c r="AT128" i="1"/>
  <c r="AP128" i="1"/>
  <c r="AL128" i="1"/>
  <c r="AH128" i="1"/>
  <c r="AD128" i="1"/>
  <c r="Z128" i="1"/>
  <c r="V128" i="1"/>
  <c r="N128" i="1"/>
  <c r="J128" i="1"/>
  <c r="F128" i="1"/>
  <c r="AY127" i="1"/>
  <c r="BA127" i="1"/>
  <c r="AW127" i="1"/>
  <c r="AV127" i="1"/>
  <c r="AS127" i="1"/>
  <c r="AR127" i="1"/>
  <c r="AO127" i="1"/>
  <c r="AN127" i="1"/>
  <c r="AK127" i="1"/>
  <c r="AJ127" i="1"/>
  <c r="AG127" i="1"/>
  <c r="AF127" i="1"/>
  <c r="AC127" i="1"/>
  <c r="AB127" i="1"/>
  <c r="Y127" i="1"/>
  <c r="X127" i="1"/>
  <c r="U127" i="1"/>
  <c r="R127" i="1"/>
  <c r="T127" i="1"/>
  <c r="Q127" i="1"/>
  <c r="P127" i="1"/>
  <c r="M127" i="1"/>
  <c r="L127" i="1"/>
  <c r="I127" i="1"/>
  <c r="H127" i="1"/>
  <c r="E127" i="1"/>
  <c r="B127" i="1"/>
  <c r="AY126" i="1"/>
  <c r="BA126" i="1"/>
  <c r="AW126" i="1"/>
  <c r="AV126" i="1"/>
  <c r="AS126" i="1"/>
  <c r="AR126" i="1"/>
  <c r="AO126" i="1"/>
  <c r="AN126" i="1"/>
  <c r="AK126" i="1"/>
  <c r="AJ126" i="1"/>
  <c r="AG126" i="1"/>
  <c r="AF126" i="1"/>
  <c r="AC126" i="1"/>
  <c r="AB126" i="1"/>
  <c r="Y126" i="1"/>
  <c r="X126" i="1"/>
  <c r="U126" i="1"/>
  <c r="R126" i="1"/>
  <c r="T126" i="1"/>
  <c r="Q126" i="1"/>
  <c r="P126" i="1"/>
  <c r="M126" i="1"/>
  <c r="L126" i="1"/>
  <c r="I126" i="1"/>
  <c r="H126" i="1"/>
  <c r="E126" i="1"/>
  <c r="B126" i="1"/>
  <c r="AY125" i="1"/>
  <c r="BA125" i="1"/>
  <c r="AW125" i="1"/>
  <c r="AV125" i="1"/>
  <c r="AS125" i="1"/>
  <c r="AR125" i="1"/>
  <c r="AO125" i="1"/>
  <c r="AN125" i="1"/>
  <c r="AK125" i="1"/>
  <c r="AJ125" i="1"/>
  <c r="AG125" i="1"/>
  <c r="AF125" i="1"/>
  <c r="AC125" i="1"/>
  <c r="AB125" i="1"/>
  <c r="Y125" i="1"/>
  <c r="X125" i="1"/>
  <c r="U125" i="1"/>
  <c r="R125" i="1"/>
  <c r="Q125" i="1"/>
  <c r="P125" i="1"/>
  <c r="M125" i="1"/>
  <c r="L125" i="1"/>
  <c r="I125" i="1"/>
  <c r="H125" i="1"/>
  <c r="E125" i="1"/>
  <c r="B125" i="1"/>
  <c r="AX124" i="1"/>
  <c r="AU124" i="1"/>
  <c r="AQ124" i="1"/>
  <c r="AM124" i="1"/>
  <c r="AI124" i="1"/>
  <c r="AE124" i="1"/>
  <c r="AA124" i="1"/>
  <c r="W124" i="1"/>
  <c r="S124" i="1"/>
  <c r="O124" i="1"/>
  <c r="K124" i="1"/>
  <c r="G124" i="1"/>
  <c r="C124" i="1"/>
  <c r="AT123" i="1"/>
  <c r="AP123" i="1"/>
  <c r="AL123" i="1"/>
  <c r="AH123" i="1"/>
  <c r="AD123" i="1"/>
  <c r="Z123" i="1"/>
  <c r="R123" i="1"/>
  <c r="N123" i="1"/>
  <c r="J123" i="1"/>
  <c r="AY122" i="1"/>
  <c r="BA122" i="1"/>
  <c r="AW122" i="1"/>
  <c r="AV122" i="1"/>
  <c r="AS122" i="1"/>
  <c r="AR122" i="1"/>
  <c r="AO122" i="1"/>
  <c r="AN122" i="1"/>
  <c r="AK122" i="1"/>
  <c r="AJ122" i="1"/>
  <c r="AG122" i="1"/>
  <c r="AF122" i="1"/>
  <c r="AC122" i="1"/>
  <c r="AB122" i="1"/>
  <c r="Y122" i="1"/>
  <c r="V122" i="1"/>
  <c r="X122" i="1"/>
  <c r="U122" i="1"/>
  <c r="T122" i="1"/>
  <c r="Q122" i="1"/>
  <c r="P122" i="1"/>
  <c r="M122" i="1"/>
  <c r="L122" i="1"/>
  <c r="I122" i="1"/>
  <c r="F122" i="1"/>
  <c r="H122" i="1"/>
  <c r="E122" i="1"/>
  <c r="B122" i="1"/>
  <c r="AY121" i="1"/>
  <c r="BA121" i="1"/>
  <c r="AW121" i="1"/>
  <c r="AV121" i="1"/>
  <c r="AS121" i="1"/>
  <c r="AR121" i="1"/>
  <c r="AO121" i="1"/>
  <c r="AN121" i="1"/>
  <c r="AK121" i="1"/>
  <c r="AJ121" i="1"/>
  <c r="AG121" i="1"/>
  <c r="AF121" i="1"/>
  <c r="AC121" i="1"/>
  <c r="AB121" i="1"/>
  <c r="Y121" i="1"/>
  <c r="V121" i="1"/>
  <c r="X121" i="1"/>
  <c r="U121" i="1"/>
  <c r="T121" i="1"/>
  <c r="Q121" i="1"/>
  <c r="P121" i="1"/>
  <c r="M121" i="1"/>
  <c r="L121" i="1"/>
  <c r="I121" i="1"/>
  <c r="F121" i="1"/>
  <c r="H121" i="1"/>
  <c r="E121" i="1"/>
  <c r="B121" i="1"/>
  <c r="AY120" i="1"/>
  <c r="BA120" i="1"/>
  <c r="AW120" i="1"/>
  <c r="AV120" i="1"/>
  <c r="AS120" i="1"/>
  <c r="AR120" i="1"/>
  <c r="AO120" i="1"/>
  <c r="AN120" i="1"/>
  <c r="AK120" i="1"/>
  <c r="AJ120" i="1"/>
  <c r="AG120" i="1"/>
  <c r="AF120" i="1"/>
  <c r="AC120" i="1"/>
  <c r="AB120" i="1"/>
  <c r="Y120" i="1"/>
  <c r="V120" i="1"/>
  <c r="U120" i="1"/>
  <c r="T120" i="1"/>
  <c r="Q120" i="1"/>
  <c r="P120" i="1"/>
  <c r="M120" i="1"/>
  <c r="L120" i="1"/>
  <c r="I120" i="1"/>
  <c r="F120" i="1"/>
  <c r="E120" i="1"/>
  <c r="B120" i="1"/>
  <c r="AX119" i="1"/>
  <c r="AU119" i="1"/>
  <c r="AQ119" i="1"/>
  <c r="AM119" i="1"/>
  <c r="AI119" i="1"/>
  <c r="AE119" i="1"/>
  <c r="AA119" i="1"/>
  <c r="W119" i="1"/>
  <c r="S119" i="1"/>
  <c r="O119" i="1"/>
  <c r="K119" i="1"/>
  <c r="G119" i="1"/>
  <c r="C119" i="1"/>
  <c r="AT118" i="1"/>
  <c r="AP118" i="1"/>
  <c r="AL118" i="1"/>
  <c r="AH118" i="1"/>
  <c r="AD118" i="1"/>
  <c r="Z118" i="1"/>
  <c r="AY117" i="1"/>
  <c r="BA117" i="1"/>
  <c r="AW117" i="1"/>
  <c r="AV117" i="1"/>
  <c r="AS117" i="1"/>
  <c r="AR117" i="1"/>
  <c r="AO117" i="1"/>
  <c r="AN117" i="1"/>
  <c r="AK117" i="1"/>
  <c r="AJ117" i="1"/>
  <c r="AG117" i="1"/>
  <c r="AF117" i="1"/>
  <c r="AC117" i="1"/>
  <c r="AB117" i="1"/>
  <c r="Y117" i="1"/>
  <c r="V117" i="1"/>
  <c r="X117" i="1"/>
  <c r="U117" i="1"/>
  <c r="R117" i="1"/>
  <c r="T117" i="1"/>
  <c r="Q117" i="1"/>
  <c r="N117" i="1"/>
  <c r="P117" i="1"/>
  <c r="M117" i="1"/>
  <c r="J117" i="1"/>
  <c r="L117" i="1"/>
  <c r="I117" i="1"/>
  <c r="F117" i="1"/>
  <c r="H117" i="1"/>
  <c r="E117" i="1"/>
  <c r="B117" i="1"/>
  <c r="AY116" i="1"/>
  <c r="BA116" i="1"/>
  <c r="AW116" i="1"/>
  <c r="AV116" i="1"/>
  <c r="AS116" i="1"/>
  <c r="AR116" i="1"/>
  <c r="AO116" i="1"/>
  <c r="AN116" i="1"/>
  <c r="AK116" i="1"/>
  <c r="AJ116" i="1"/>
  <c r="AG116" i="1"/>
  <c r="AF116" i="1"/>
  <c r="AC116" i="1"/>
  <c r="AB116" i="1"/>
  <c r="Y116" i="1"/>
  <c r="V116" i="1"/>
  <c r="X116" i="1"/>
  <c r="U116" i="1"/>
  <c r="R116" i="1"/>
  <c r="T116" i="1"/>
  <c r="Q116" i="1"/>
  <c r="N116" i="1"/>
  <c r="P116" i="1"/>
  <c r="M116" i="1"/>
  <c r="J116" i="1"/>
  <c r="L116" i="1"/>
  <c r="I116" i="1"/>
  <c r="F116" i="1"/>
  <c r="H116" i="1"/>
  <c r="E116" i="1"/>
  <c r="B116" i="1"/>
  <c r="AY115" i="1"/>
  <c r="BA115" i="1"/>
  <c r="AW115" i="1"/>
  <c r="AV115" i="1"/>
  <c r="AS115" i="1"/>
  <c r="AR115" i="1"/>
  <c r="AO115" i="1"/>
  <c r="AN115" i="1"/>
  <c r="AK115" i="1"/>
  <c r="AJ115" i="1"/>
  <c r="AG115" i="1"/>
  <c r="AF115" i="1"/>
  <c r="AC115" i="1"/>
  <c r="AB115" i="1"/>
  <c r="Y115" i="1"/>
  <c r="V115" i="1"/>
  <c r="U115" i="1"/>
  <c r="R115" i="1"/>
  <c r="Q115" i="1"/>
  <c r="N115" i="1"/>
  <c r="M115" i="1"/>
  <c r="J115" i="1"/>
  <c r="I115" i="1"/>
  <c r="F115" i="1"/>
  <c r="E115" i="1"/>
  <c r="B115" i="1"/>
  <c r="AX114" i="1"/>
  <c r="AU114" i="1"/>
  <c r="AQ114" i="1"/>
  <c r="AM114" i="1"/>
  <c r="AI114" i="1"/>
  <c r="AE114" i="1"/>
  <c r="AA114" i="1"/>
  <c r="W114" i="1"/>
  <c r="S114" i="1"/>
  <c r="O114" i="1"/>
  <c r="K114" i="1"/>
  <c r="G114" i="1"/>
  <c r="C114" i="1"/>
  <c r="AP113" i="1"/>
  <c r="AH113" i="1"/>
  <c r="AD113" i="1"/>
  <c r="Z113" i="1"/>
  <c r="V113" i="1"/>
  <c r="N113" i="1"/>
  <c r="F113" i="1"/>
  <c r="B113" i="1"/>
  <c r="AY112" i="1"/>
  <c r="BA112" i="1"/>
  <c r="AW112" i="1"/>
  <c r="AT112" i="1"/>
  <c r="AV112" i="1"/>
  <c r="AS112" i="1"/>
  <c r="AR112" i="1"/>
  <c r="AO112" i="1"/>
  <c r="AL112" i="1"/>
  <c r="AN112" i="1"/>
  <c r="AK112" i="1"/>
  <c r="AJ112" i="1"/>
  <c r="AG112" i="1"/>
  <c r="AF112" i="1"/>
  <c r="AC112" i="1"/>
  <c r="AB112" i="1"/>
  <c r="Y112" i="1"/>
  <c r="X112" i="1"/>
  <c r="U112" i="1"/>
  <c r="R112" i="1"/>
  <c r="T112" i="1"/>
  <c r="Q112" i="1"/>
  <c r="P112" i="1"/>
  <c r="M112" i="1"/>
  <c r="J112" i="1"/>
  <c r="I112" i="1"/>
  <c r="H112" i="1"/>
  <c r="E112" i="1"/>
  <c r="D112" i="1"/>
  <c r="AY111" i="1"/>
  <c r="BA111" i="1"/>
  <c r="AW111" i="1"/>
  <c r="AT111" i="1"/>
  <c r="AV111" i="1"/>
  <c r="AS111" i="1"/>
  <c r="AR111" i="1"/>
  <c r="AO111" i="1"/>
  <c r="AL111" i="1"/>
  <c r="AN111" i="1"/>
  <c r="AK111" i="1"/>
  <c r="AJ111" i="1"/>
  <c r="AG111" i="1"/>
  <c r="AF111" i="1"/>
  <c r="AC111" i="1"/>
  <c r="AB111" i="1"/>
  <c r="Y111" i="1"/>
  <c r="X111" i="1"/>
  <c r="U111" i="1"/>
  <c r="R111" i="1"/>
  <c r="T111" i="1"/>
  <c r="Q111" i="1"/>
  <c r="P111" i="1"/>
  <c r="M111" i="1"/>
  <c r="J111" i="1"/>
  <c r="I111" i="1"/>
  <c r="H111" i="1"/>
  <c r="E111" i="1"/>
  <c r="D111" i="1"/>
  <c r="AY110" i="1"/>
  <c r="BA110" i="1"/>
  <c r="AW110" i="1"/>
  <c r="AT110" i="1"/>
  <c r="AS110" i="1"/>
  <c r="AR110" i="1"/>
  <c r="AO110" i="1"/>
  <c r="AL110" i="1"/>
  <c r="AK110" i="1"/>
  <c r="AJ110" i="1"/>
  <c r="AG110" i="1"/>
  <c r="AF110" i="1"/>
  <c r="AC110" i="1"/>
  <c r="AB110" i="1"/>
  <c r="Y110" i="1"/>
  <c r="X110" i="1"/>
  <c r="U110" i="1"/>
  <c r="R110" i="1"/>
  <c r="Q110" i="1"/>
  <c r="P110" i="1"/>
  <c r="M110" i="1"/>
  <c r="J110" i="1"/>
  <c r="I110" i="1"/>
  <c r="H110" i="1"/>
  <c r="E110" i="1"/>
  <c r="D110" i="1"/>
  <c r="AX109" i="1"/>
  <c r="AU109" i="1"/>
  <c r="AQ109" i="1"/>
  <c r="AM109" i="1"/>
  <c r="AI109" i="1"/>
  <c r="AE109" i="1"/>
  <c r="AA109" i="1"/>
  <c r="W109" i="1"/>
  <c r="S109" i="1"/>
  <c r="O109" i="1"/>
  <c r="K109" i="1"/>
  <c r="G109" i="1"/>
  <c r="C109" i="1"/>
  <c r="AL108" i="1"/>
  <c r="AD108" i="1"/>
  <c r="Z108" i="1"/>
  <c r="AY107" i="1"/>
  <c r="BA107" i="1"/>
  <c r="AW107" i="1"/>
  <c r="AT107" i="1"/>
  <c r="AV107" i="1"/>
  <c r="AS107" i="1"/>
  <c r="AP107" i="1"/>
  <c r="AR107" i="1"/>
  <c r="AO107" i="1"/>
  <c r="AN107" i="1"/>
  <c r="AK107" i="1"/>
  <c r="AH107" i="1"/>
  <c r="AJ107" i="1"/>
  <c r="AG107" i="1"/>
  <c r="AF107" i="1"/>
  <c r="AC107" i="1"/>
  <c r="AB107" i="1"/>
  <c r="Y107" i="1"/>
  <c r="V107" i="1"/>
  <c r="X107" i="1"/>
  <c r="U107" i="1"/>
  <c r="R107" i="1"/>
  <c r="T107" i="1"/>
  <c r="Q107" i="1"/>
  <c r="N107" i="1"/>
  <c r="P107" i="1"/>
  <c r="M107" i="1"/>
  <c r="J107" i="1"/>
  <c r="L107" i="1"/>
  <c r="I107" i="1"/>
  <c r="F107" i="1"/>
  <c r="H107" i="1"/>
  <c r="E107" i="1"/>
  <c r="B107" i="1"/>
  <c r="AY106" i="1"/>
  <c r="BA106" i="1"/>
  <c r="AW106" i="1"/>
  <c r="AT106" i="1"/>
  <c r="AV106" i="1"/>
  <c r="AS106" i="1"/>
  <c r="AP106" i="1"/>
  <c r="AR106" i="1"/>
  <c r="AO106" i="1"/>
  <c r="AN106" i="1"/>
  <c r="AK106" i="1"/>
  <c r="AH106" i="1"/>
  <c r="AJ106" i="1"/>
  <c r="AG106" i="1"/>
  <c r="AF106" i="1"/>
  <c r="AC106" i="1"/>
  <c r="AB106" i="1"/>
  <c r="Y106" i="1"/>
  <c r="V106" i="1"/>
  <c r="X106" i="1"/>
  <c r="U106" i="1"/>
  <c r="R106" i="1"/>
  <c r="T106" i="1"/>
  <c r="Q106" i="1"/>
  <c r="N106" i="1"/>
  <c r="P106" i="1"/>
  <c r="M106" i="1"/>
  <c r="J106" i="1"/>
  <c r="L106" i="1"/>
  <c r="I106" i="1"/>
  <c r="F106" i="1"/>
  <c r="H106" i="1"/>
  <c r="E106" i="1"/>
  <c r="B106" i="1"/>
  <c r="AY105" i="1"/>
  <c r="BA105" i="1"/>
  <c r="AW105" i="1"/>
  <c r="AT105" i="1"/>
  <c r="AS105" i="1"/>
  <c r="AP105" i="1"/>
  <c r="AO105" i="1"/>
  <c r="AN105" i="1"/>
  <c r="AK105" i="1"/>
  <c r="AH105" i="1"/>
  <c r="AG105" i="1"/>
  <c r="AF105" i="1"/>
  <c r="AC105" i="1"/>
  <c r="AB105" i="1"/>
  <c r="Y105" i="1"/>
  <c r="V105" i="1"/>
  <c r="U105" i="1"/>
  <c r="R105" i="1"/>
  <c r="Q105" i="1"/>
  <c r="N105" i="1"/>
  <c r="M105" i="1"/>
  <c r="J105" i="1"/>
  <c r="I105" i="1"/>
  <c r="F105" i="1"/>
  <c r="E105" i="1"/>
  <c r="B105" i="1"/>
  <c r="AX104" i="1"/>
  <c r="AU104" i="1"/>
  <c r="AQ104" i="1"/>
  <c r="AM104" i="1"/>
  <c r="AI104" i="1"/>
  <c r="AE104" i="1"/>
  <c r="AA104" i="1"/>
  <c r="W104" i="1"/>
  <c r="S104" i="1"/>
  <c r="O104" i="1"/>
  <c r="K104" i="1"/>
  <c r="G104" i="1"/>
  <c r="C104" i="1"/>
  <c r="AT103" i="1"/>
  <c r="AP103" i="1"/>
  <c r="AL103" i="1"/>
  <c r="AH103" i="1"/>
  <c r="AD103" i="1"/>
  <c r="Z103" i="1"/>
  <c r="V103" i="1"/>
  <c r="R103" i="1"/>
  <c r="N103" i="1"/>
  <c r="J103" i="1"/>
  <c r="B103" i="1"/>
  <c r="AY102" i="1"/>
  <c r="BA102" i="1"/>
  <c r="AW102" i="1"/>
  <c r="AV102" i="1"/>
  <c r="AS102" i="1"/>
  <c r="AR102" i="1"/>
  <c r="AO102" i="1"/>
  <c r="AN102" i="1"/>
  <c r="AK102" i="1"/>
  <c r="AJ102" i="1"/>
  <c r="AG102" i="1"/>
  <c r="AF102" i="1"/>
  <c r="AC102" i="1"/>
  <c r="AB102" i="1"/>
  <c r="Y102" i="1"/>
  <c r="X102" i="1"/>
  <c r="U102" i="1"/>
  <c r="T102" i="1"/>
  <c r="Q102" i="1"/>
  <c r="P102" i="1"/>
  <c r="M102" i="1"/>
  <c r="L102" i="1"/>
  <c r="I102" i="1"/>
  <c r="F102" i="1"/>
  <c r="E102" i="1"/>
  <c r="D102" i="1"/>
  <c r="AY101" i="1"/>
  <c r="BA101" i="1"/>
  <c r="AW101" i="1"/>
  <c r="AV101" i="1"/>
  <c r="AS101" i="1"/>
  <c r="AR101" i="1"/>
  <c r="AO101" i="1"/>
  <c r="AN101" i="1"/>
  <c r="AK101" i="1"/>
  <c r="AJ101" i="1"/>
  <c r="AG101" i="1"/>
  <c r="AF101" i="1"/>
  <c r="AC101" i="1"/>
  <c r="AB101" i="1"/>
  <c r="Y101" i="1"/>
  <c r="X101" i="1"/>
  <c r="U101" i="1"/>
  <c r="T101" i="1"/>
  <c r="Q101" i="1"/>
  <c r="P101" i="1"/>
  <c r="M101" i="1"/>
  <c r="L101" i="1"/>
  <c r="I101" i="1"/>
  <c r="F101" i="1"/>
  <c r="E101" i="1"/>
  <c r="D101" i="1"/>
  <c r="AY100" i="1"/>
  <c r="BA100" i="1"/>
  <c r="AW100" i="1"/>
  <c r="AV100" i="1"/>
  <c r="AS100" i="1"/>
  <c r="AR100" i="1"/>
  <c r="AO100" i="1"/>
  <c r="AN100" i="1"/>
  <c r="AK100" i="1"/>
  <c r="AJ100" i="1"/>
  <c r="AG100" i="1"/>
  <c r="AF100" i="1"/>
  <c r="AC100" i="1"/>
  <c r="AB100" i="1"/>
  <c r="Y100" i="1"/>
  <c r="X100" i="1"/>
  <c r="U100" i="1"/>
  <c r="T100" i="1"/>
  <c r="Q100" i="1"/>
  <c r="P100" i="1"/>
  <c r="M100" i="1"/>
  <c r="L100" i="1"/>
  <c r="I100" i="1"/>
  <c r="F100" i="1"/>
  <c r="E100" i="1"/>
  <c r="D100" i="1"/>
  <c r="AX99" i="1"/>
  <c r="AU99" i="1"/>
  <c r="AQ99" i="1"/>
  <c r="AM99" i="1"/>
  <c r="AI99" i="1"/>
  <c r="AE99" i="1"/>
  <c r="AA99" i="1"/>
  <c r="W99" i="1"/>
  <c r="S99" i="1"/>
  <c r="O99" i="1"/>
  <c r="K99" i="1"/>
  <c r="G99" i="1"/>
  <c r="C99" i="1"/>
  <c r="AT98" i="1"/>
  <c r="AL98" i="1"/>
  <c r="AH98" i="1"/>
  <c r="AD98" i="1"/>
  <c r="Z98" i="1"/>
  <c r="R98" i="1"/>
  <c r="N98" i="1"/>
  <c r="J98" i="1"/>
  <c r="F98" i="1"/>
  <c r="B98" i="1"/>
  <c r="AY97" i="1"/>
  <c r="BA97" i="1"/>
  <c r="AW97" i="1"/>
  <c r="AV97" i="1"/>
  <c r="AS97" i="1"/>
  <c r="AP97" i="1"/>
  <c r="AR97" i="1"/>
  <c r="AO97" i="1"/>
  <c r="AN97" i="1"/>
  <c r="AK97" i="1"/>
  <c r="AJ97" i="1"/>
  <c r="AG97" i="1"/>
  <c r="AF97" i="1"/>
  <c r="AC97" i="1"/>
  <c r="AB97" i="1"/>
  <c r="Y97" i="1"/>
  <c r="V97" i="1"/>
  <c r="U97" i="1"/>
  <c r="T97" i="1"/>
  <c r="Q97" i="1"/>
  <c r="P97" i="1"/>
  <c r="M97" i="1"/>
  <c r="L97" i="1"/>
  <c r="I97" i="1"/>
  <c r="H97" i="1"/>
  <c r="E97" i="1"/>
  <c r="D97" i="1"/>
  <c r="AY96" i="1"/>
  <c r="BA96" i="1"/>
  <c r="AW96" i="1"/>
  <c r="AV96" i="1"/>
  <c r="AS96" i="1"/>
  <c r="AP96" i="1"/>
  <c r="AR96" i="1"/>
  <c r="AO96" i="1"/>
  <c r="AN96" i="1"/>
  <c r="AK96" i="1"/>
  <c r="AJ96" i="1"/>
  <c r="AG96" i="1"/>
  <c r="AF96" i="1"/>
  <c r="AC96" i="1"/>
  <c r="AB96" i="1"/>
  <c r="Y96" i="1"/>
  <c r="V96" i="1"/>
  <c r="U96" i="1"/>
  <c r="T96" i="1"/>
  <c r="Q96" i="1"/>
  <c r="P96" i="1"/>
  <c r="M96" i="1"/>
  <c r="L96" i="1"/>
  <c r="I96" i="1"/>
  <c r="H96" i="1"/>
  <c r="E96" i="1"/>
  <c r="D96" i="1"/>
  <c r="AY95" i="1"/>
  <c r="BA95" i="1"/>
  <c r="AW95" i="1"/>
  <c r="AV95" i="1"/>
  <c r="AS95" i="1"/>
  <c r="AP95" i="1"/>
  <c r="AO95" i="1"/>
  <c r="AN95" i="1"/>
  <c r="AK95" i="1"/>
  <c r="AJ95" i="1"/>
  <c r="AG95" i="1"/>
  <c r="AF95" i="1"/>
  <c r="AC95" i="1"/>
  <c r="AB95" i="1"/>
  <c r="Y95" i="1"/>
  <c r="V95" i="1"/>
  <c r="U95" i="1"/>
  <c r="T95" i="1"/>
  <c r="Q95" i="1"/>
  <c r="P95" i="1"/>
  <c r="M95" i="1"/>
  <c r="L95" i="1"/>
  <c r="I95" i="1"/>
  <c r="H95" i="1"/>
  <c r="E95" i="1"/>
  <c r="D95" i="1"/>
  <c r="AX94" i="1"/>
  <c r="AU94" i="1"/>
  <c r="AQ94" i="1"/>
  <c r="AM94" i="1"/>
  <c r="AI94" i="1"/>
  <c r="AE94" i="1"/>
  <c r="AA94" i="1"/>
  <c r="W94" i="1"/>
  <c r="S94" i="1"/>
  <c r="O94" i="1"/>
  <c r="K94" i="1"/>
  <c r="G94" i="1"/>
  <c r="C94" i="1"/>
  <c r="AU93" i="1"/>
  <c r="AW93" i="1"/>
  <c r="AT93" i="1"/>
  <c r="AV93" i="1"/>
  <c r="AQ93" i="1"/>
  <c r="AS93" i="1"/>
  <c r="AP93" i="1"/>
  <c r="AR93" i="1"/>
  <c r="AM93" i="1"/>
  <c r="AO93" i="1"/>
  <c r="AL93" i="1"/>
  <c r="AN93" i="1"/>
  <c r="AI93" i="1"/>
  <c r="AK93" i="1"/>
  <c r="AH93" i="1"/>
  <c r="AJ93" i="1"/>
  <c r="AE93" i="1"/>
  <c r="AG93" i="1"/>
  <c r="AD93" i="1"/>
  <c r="AF93" i="1"/>
  <c r="AA93" i="1"/>
  <c r="AC93" i="1"/>
  <c r="Z93" i="1"/>
  <c r="AB93" i="1"/>
  <c r="W93" i="1"/>
  <c r="Y93" i="1"/>
  <c r="V93" i="1"/>
  <c r="X93" i="1"/>
  <c r="S93" i="1"/>
  <c r="U93" i="1"/>
  <c r="O93" i="1"/>
  <c r="Q93" i="1"/>
  <c r="K93" i="1"/>
  <c r="M93" i="1"/>
  <c r="J93" i="1"/>
  <c r="L93" i="1"/>
  <c r="G93" i="1"/>
  <c r="I93" i="1"/>
  <c r="F93" i="1"/>
  <c r="H93" i="1"/>
  <c r="C93" i="1"/>
  <c r="B93" i="1"/>
  <c r="AY92" i="1"/>
  <c r="BA92" i="1"/>
  <c r="AW92" i="1"/>
  <c r="AV92" i="1"/>
  <c r="AS92" i="1"/>
  <c r="AR92" i="1"/>
  <c r="AO92" i="1"/>
  <c r="AN92" i="1"/>
  <c r="AK92" i="1"/>
  <c r="AJ92" i="1"/>
  <c r="AG92" i="1"/>
  <c r="AF92" i="1"/>
  <c r="AC92" i="1"/>
  <c r="AB92" i="1"/>
  <c r="Y92" i="1"/>
  <c r="X92" i="1"/>
  <c r="U92" i="1"/>
  <c r="R92" i="1"/>
  <c r="T92" i="1"/>
  <c r="Q92" i="1"/>
  <c r="N92" i="1"/>
  <c r="M92" i="1"/>
  <c r="L92" i="1"/>
  <c r="I92" i="1"/>
  <c r="H92" i="1"/>
  <c r="E92" i="1"/>
  <c r="D92" i="1"/>
  <c r="AY91" i="1"/>
  <c r="BA91" i="1"/>
  <c r="AW91" i="1"/>
  <c r="AV91" i="1"/>
  <c r="AS91" i="1"/>
  <c r="AR91" i="1"/>
  <c r="AO91" i="1"/>
  <c r="AN91" i="1"/>
  <c r="AK91" i="1"/>
  <c r="AJ91" i="1"/>
  <c r="AG91" i="1"/>
  <c r="AF91" i="1"/>
  <c r="AC91" i="1"/>
  <c r="AB91" i="1"/>
  <c r="Y91" i="1"/>
  <c r="X91" i="1"/>
  <c r="U91" i="1"/>
  <c r="R91" i="1"/>
  <c r="T91" i="1"/>
  <c r="Q91" i="1"/>
  <c r="N91" i="1"/>
  <c r="M91" i="1"/>
  <c r="L91" i="1"/>
  <c r="I91" i="1"/>
  <c r="H91" i="1"/>
  <c r="E91" i="1"/>
  <c r="D91" i="1"/>
  <c r="AY90" i="1"/>
  <c r="BA90" i="1"/>
  <c r="AW90" i="1"/>
  <c r="AV90" i="1"/>
  <c r="AS90" i="1"/>
  <c r="AR90" i="1"/>
  <c r="AO90" i="1"/>
  <c r="AN90" i="1"/>
  <c r="AK90" i="1"/>
  <c r="AJ90" i="1"/>
  <c r="AG90" i="1"/>
  <c r="AF90" i="1"/>
  <c r="AC90" i="1"/>
  <c r="AB90" i="1"/>
  <c r="Y90" i="1"/>
  <c r="X90" i="1"/>
  <c r="U90" i="1"/>
  <c r="R90" i="1"/>
  <c r="Q90" i="1"/>
  <c r="N90" i="1"/>
  <c r="M90" i="1"/>
  <c r="L90" i="1"/>
  <c r="I90" i="1"/>
  <c r="H90" i="1"/>
  <c r="E90" i="1"/>
  <c r="D90" i="1"/>
  <c r="AY89" i="1"/>
  <c r="BA89" i="1"/>
  <c r="AX89" i="1"/>
  <c r="AZ89" i="1"/>
  <c r="AW89" i="1"/>
  <c r="AV89" i="1"/>
  <c r="AS89" i="1"/>
  <c r="AR89" i="1"/>
  <c r="AO89" i="1"/>
  <c r="AN89" i="1"/>
  <c r="AK89" i="1"/>
  <c r="AJ89" i="1"/>
  <c r="AG89" i="1"/>
  <c r="AF89" i="1"/>
  <c r="AC89" i="1"/>
  <c r="AB89" i="1"/>
  <c r="Y89" i="1"/>
  <c r="X89" i="1"/>
  <c r="U89" i="1"/>
  <c r="T89" i="1"/>
  <c r="Q89" i="1"/>
  <c r="P89" i="1"/>
  <c r="M89" i="1"/>
  <c r="L89" i="1"/>
  <c r="I89" i="1"/>
  <c r="H89" i="1"/>
  <c r="E89" i="1"/>
  <c r="D89" i="1"/>
  <c r="AU88" i="1"/>
  <c r="AW88" i="1"/>
  <c r="AQ88" i="1"/>
  <c r="AS88" i="1"/>
  <c r="AP88" i="1"/>
  <c r="AR88" i="1"/>
  <c r="AM88" i="1"/>
  <c r="AO88" i="1"/>
  <c r="AL88" i="1"/>
  <c r="AN88" i="1"/>
  <c r="AI88" i="1"/>
  <c r="AK88" i="1"/>
  <c r="AH88" i="1"/>
  <c r="AJ88" i="1"/>
  <c r="AE88" i="1"/>
  <c r="AG88" i="1"/>
  <c r="AD88" i="1"/>
  <c r="AF88" i="1"/>
  <c r="AA88" i="1"/>
  <c r="AC88" i="1"/>
  <c r="Z88" i="1"/>
  <c r="AB88" i="1"/>
  <c r="W88" i="1"/>
  <c r="Y88" i="1"/>
  <c r="V88" i="1"/>
  <c r="X88" i="1"/>
  <c r="S88" i="1"/>
  <c r="U88" i="1"/>
  <c r="R88" i="1"/>
  <c r="T88" i="1"/>
  <c r="O88" i="1"/>
  <c r="Q88" i="1"/>
  <c r="N88" i="1"/>
  <c r="P88" i="1"/>
  <c r="K88" i="1"/>
  <c r="M88" i="1"/>
  <c r="J88" i="1"/>
  <c r="L88" i="1"/>
  <c r="G88" i="1"/>
  <c r="I88" i="1"/>
  <c r="C88" i="1"/>
  <c r="B88" i="1"/>
  <c r="AY87" i="1"/>
  <c r="BA87" i="1"/>
  <c r="AW87" i="1"/>
  <c r="AT87" i="1"/>
  <c r="AV87" i="1"/>
  <c r="AS87" i="1"/>
  <c r="AR87" i="1"/>
  <c r="AO87" i="1"/>
  <c r="AN87" i="1"/>
  <c r="AK87" i="1"/>
  <c r="AJ87" i="1"/>
  <c r="AG87" i="1"/>
  <c r="AF87" i="1"/>
  <c r="AC87" i="1"/>
  <c r="AB87" i="1"/>
  <c r="Y87" i="1"/>
  <c r="X87" i="1"/>
  <c r="U87" i="1"/>
  <c r="T87" i="1"/>
  <c r="Q87" i="1"/>
  <c r="P87" i="1"/>
  <c r="M87" i="1"/>
  <c r="L87" i="1"/>
  <c r="I87" i="1"/>
  <c r="F87" i="1"/>
  <c r="E87" i="1"/>
  <c r="D87" i="1"/>
  <c r="AY86" i="1"/>
  <c r="BA86" i="1"/>
  <c r="AW86" i="1"/>
  <c r="AT86" i="1"/>
  <c r="AV86" i="1"/>
  <c r="AS86" i="1"/>
  <c r="AR86" i="1"/>
  <c r="AO86" i="1"/>
  <c r="AN86" i="1"/>
  <c r="AK86" i="1"/>
  <c r="AJ86" i="1"/>
  <c r="AG86" i="1"/>
  <c r="AF86" i="1"/>
  <c r="AC86" i="1"/>
  <c r="AB86" i="1"/>
  <c r="Y86" i="1"/>
  <c r="X86" i="1"/>
  <c r="U86" i="1"/>
  <c r="T86" i="1"/>
  <c r="Q86" i="1"/>
  <c r="P86" i="1"/>
  <c r="M86" i="1"/>
  <c r="L86" i="1"/>
  <c r="I86" i="1"/>
  <c r="F86" i="1"/>
  <c r="E86" i="1"/>
  <c r="D86" i="1"/>
  <c r="AY85" i="1"/>
  <c r="BA85" i="1"/>
  <c r="AW85" i="1"/>
  <c r="AT85" i="1"/>
  <c r="AS85" i="1"/>
  <c r="AR85" i="1"/>
  <c r="AO85" i="1"/>
  <c r="AN85" i="1"/>
  <c r="AK85" i="1"/>
  <c r="AJ85" i="1"/>
  <c r="AG85" i="1"/>
  <c r="AF85" i="1"/>
  <c r="AC85" i="1"/>
  <c r="AB85" i="1"/>
  <c r="Y85" i="1"/>
  <c r="X85" i="1"/>
  <c r="U85" i="1"/>
  <c r="T85" i="1"/>
  <c r="Q85" i="1"/>
  <c r="P85" i="1"/>
  <c r="M85" i="1"/>
  <c r="L85" i="1"/>
  <c r="I85" i="1"/>
  <c r="F85" i="1"/>
  <c r="E85" i="1"/>
  <c r="D85" i="1"/>
  <c r="AY84" i="1"/>
  <c r="BA84" i="1"/>
  <c r="AX84" i="1"/>
  <c r="AZ84" i="1"/>
  <c r="AW84" i="1"/>
  <c r="AV84" i="1"/>
  <c r="AS84" i="1"/>
  <c r="AR84" i="1"/>
  <c r="AO84" i="1"/>
  <c r="AN84" i="1"/>
  <c r="AK84" i="1"/>
  <c r="AJ84" i="1"/>
  <c r="AG84" i="1"/>
  <c r="AF84" i="1"/>
  <c r="AC84" i="1"/>
  <c r="AB84" i="1"/>
  <c r="Y84" i="1"/>
  <c r="X84" i="1"/>
  <c r="U84" i="1"/>
  <c r="T84" i="1"/>
  <c r="Q84" i="1"/>
  <c r="P84" i="1"/>
  <c r="M84" i="1"/>
  <c r="L84" i="1"/>
  <c r="I84" i="1"/>
  <c r="H84" i="1"/>
  <c r="E84" i="1"/>
  <c r="D84" i="1"/>
  <c r="AY82" i="1"/>
  <c r="BA82" i="1"/>
  <c r="AW82" i="1"/>
  <c r="AT82" i="1"/>
  <c r="AV82" i="1"/>
  <c r="AS82" i="1"/>
  <c r="AP82" i="1"/>
  <c r="AR82" i="1"/>
  <c r="AO82" i="1"/>
  <c r="AL82" i="1"/>
  <c r="AN82" i="1"/>
  <c r="AK82" i="1"/>
  <c r="AH82" i="1"/>
  <c r="AJ82" i="1"/>
  <c r="AG82" i="1"/>
  <c r="AD82" i="1"/>
  <c r="AF82" i="1"/>
  <c r="AC82" i="1"/>
  <c r="Z82" i="1"/>
  <c r="AB82" i="1"/>
  <c r="Y82" i="1"/>
  <c r="V82" i="1"/>
  <c r="X82" i="1"/>
  <c r="U82" i="1"/>
  <c r="R82" i="1"/>
  <c r="T82" i="1"/>
  <c r="Q82" i="1"/>
  <c r="N82" i="1"/>
  <c r="P82" i="1"/>
  <c r="M82" i="1"/>
  <c r="J82" i="1"/>
  <c r="L82" i="1"/>
  <c r="I82" i="1"/>
  <c r="F82" i="1"/>
  <c r="H82" i="1"/>
  <c r="E82" i="1"/>
  <c r="B82" i="1"/>
  <c r="AY81" i="1"/>
  <c r="BA81" i="1"/>
  <c r="AW81" i="1"/>
  <c r="AT81" i="1"/>
  <c r="AV81" i="1"/>
  <c r="AS81" i="1"/>
  <c r="AP81" i="1"/>
  <c r="AR81" i="1"/>
  <c r="AO81" i="1"/>
  <c r="AL81" i="1"/>
  <c r="AN81" i="1"/>
  <c r="AK81" i="1"/>
  <c r="AH81" i="1"/>
  <c r="AJ81" i="1"/>
  <c r="AG81" i="1"/>
  <c r="AD81" i="1"/>
  <c r="AF81" i="1"/>
  <c r="AC81" i="1"/>
  <c r="Z81" i="1"/>
  <c r="AB81" i="1"/>
  <c r="Y81" i="1"/>
  <c r="V81" i="1"/>
  <c r="X81" i="1"/>
  <c r="U81" i="1"/>
  <c r="R81" i="1"/>
  <c r="T81" i="1"/>
  <c r="Q81" i="1"/>
  <c r="N81" i="1"/>
  <c r="P81" i="1"/>
  <c r="M81" i="1"/>
  <c r="J81" i="1"/>
  <c r="L81" i="1"/>
  <c r="I81" i="1"/>
  <c r="F81" i="1"/>
  <c r="H81" i="1"/>
  <c r="E81" i="1"/>
  <c r="B81" i="1"/>
  <c r="AY80" i="1"/>
  <c r="BA80" i="1"/>
  <c r="AW80" i="1"/>
  <c r="AT80" i="1"/>
  <c r="AS80" i="1"/>
  <c r="AP80" i="1"/>
  <c r="AO80" i="1"/>
  <c r="AL80" i="1"/>
  <c r="AK80" i="1"/>
  <c r="AH80" i="1"/>
  <c r="AG80" i="1"/>
  <c r="AD80" i="1"/>
  <c r="AC80" i="1"/>
  <c r="Z80" i="1"/>
  <c r="Y80" i="1"/>
  <c r="V80" i="1"/>
  <c r="U80" i="1"/>
  <c r="R80" i="1"/>
  <c r="Q80" i="1"/>
  <c r="N80" i="1"/>
  <c r="M80" i="1"/>
  <c r="J80" i="1"/>
  <c r="I80" i="1"/>
  <c r="F80" i="1"/>
  <c r="E80" i="1"/>
  <c r="B80" i="1"/>
  <c r="AX79" i="1"/>
  <c r="AU79" i="1"/>
  <c r="AQ79" i="1"/>
  <c r="AM79" i="1"/>
  <c r="AI79" i="1"/>
  <c r="AE79" i="1"/>
  <c r="AA79" i="1"/>
  <c r="W79" i="1"/>
  <c r="S79" i="1"/>
  <c r="O79" i="1"/>
  <c r="K79" i="1"/>
  <c r="G79" i="1"/>
  <c r="C79" i="1"/>
  <c r="AT78" i="1"/>
  <c r="AP78" i="1"/>
  <c r="AL78" i="1"/>
  <c r="AH78" i="1"/>
  <c r="AD78" i="1"/>
  <c r="Z78" i="1"/>
  <c r="J78" i="1"/>
  <c r="F78" i="1"/>
  <c r="B78" i="1"/>
  <c r="AY77" i="1"/>
  <c r="BA77" i="1"/>
  <c r="AW77" i="1"/>
  <c r="AV77" i="1"/>
  <c r="AS77" i="1"/>
  <c r="AR77" i="1"/>
  <c r="AO77" i="1"/>
  <c r="AN77" i="1"/>
  <c r="AK77" i="1"/>
  <c r="AJ77" i="1"/>
  <c r="AG77" i="1"/>
  <c r="AF77" i="1"/>
  <c r="AC77" i="1"/>
  <c r="AB77" i="1"/>
  <c r="Y77" i="1"/>
  <c r="V77" i="1"/>
  <c r="X77" i="1"/>
  <c r="U77" i="1"/>
  <c r="R77" i="1"/>
  <c r="T77" i="1"/>
  <c r="Q77" i="1"/>
  <c r="N77" i="1"/>
  <c r="M77" i="1"/>
  <c r="L77" i="1"/>
  <c r="I77" i="1"/>
  <c r="H77" i="1"/>
  <c r="E77" i="1"/>
  <c r="D77" i="1"/>
  <c r="AY76" i="1"/>
  <c r="BA76" i="1"/>
  <c r="AW76" i="1"/>
  <c r="AV76" i="1"/>
  <c r="AS76" i="1"/>
  <c r="AR76" i="1"/>
  <c r="AO76" i="1"/>
  <c r="AN76" i="1"/>
  <c r="AK76" i="1"/>
  <c r="AJ76" i="1"/>
  <c r="AG76" i="1"/>
  <c r="AF76" i="1"/>
  <c r="AC76" i="1"/>
  <c r="AB76" i="1"/>
  <c r="Y76" i="1"/>
  <c r="V76" i="1"/>
  <c r="X76" i="1"/>
  <c r="U76" i="1"/>
  <c r="R76" i="1"/>
  <c r="T76" i="1"/>
  <c r="Q76" i="1"/>
  <c r="N76" i="1"/>
  <c r="M76" i="1"/>
  <c r="L76" i="1"/>
  <c r="I76" i="1"/>
  <c r="H76" i="1"/>
  <c r="E76" i="1"/>
  <c r="D76" i="1"/>
  <c r="AY75" i="1"/>
  <c r="BA75" i="1"/>
  <c r="AW75" i="1"/>
  <c r="AV75" i="1"/>
  <c r="AS75" i="1"/>
  <c r="AR75" i="1"/>
  <c r="AO75" i="1"/>
  <c r="AN75" i="1"/>
  <c r="AK75" i="1"/>
  <c r="AJ75" i="1"/>
  <c r="AG75" i="1"/>
  <c r="AF75" i="1"/>
  <c r="AC75" i="1"/>
  <c r="AB75" i="1"/>
  <c r="Y75" i="1"/>
  <c r="V75" i="1"/>
  <c r="U75" i="1"/>
  <c r="R75" i="1"/>
  <c r="Q75" i="1"/>
  <c r="N75" i="1"/>
  <c r="M75" i="1"/>
  <c r="L75" i="1"/>
  <c r="I75" i="1"/>
  <c r="H75" i="1"/>
  <c r="E75" i="1"/>
  <c r="D75" i="1"/>
  <c r="AX74" i="1"/>
  <c r="AU74" i="1"/>
  <c r="AQ74" i="1"/>
  <c r="AM74" i="1"/>
  <c r="AI74" i="1"/>
  <c r="AE74" i="1"/>
  <c r="AA74" i="1"/>
  <c r="W74" i="1"/>
  <c r="S74" i="1"/>
  <c r="O74" i="1"/>
  <c r="K74" i="1"/>
  <c r="G74" i="1"/>
  <c r="C74" i="1"/>
  <c r="AY72" i="1"/>
  <c r="BA72" i="1"/>
  <c r="AW72" i="1"/>
  <c r="AT72" i="1"/>
  <c r="AV72" i="1"/>
  <c r="AS72" i="1"/>
  <c r="AP72" i="1"/>
  <c r="AR72" i="1"/>
  <c r="AO72" i="1"/>
  <c r="AL72" i="1"/>
  <c r="AN72" i="1"/>
  <c r="AK72" i="1"/>
  <c r="AH72" i="1"/>
  <c r="AJ72" i="1"/>
  <c r="AG72" i="1"/>
  <c r="AD72" i="1"/>
  <c r="AF72" i="1"/>
  <c r="AC72" i="1"/>
  <c r="Z72" i="1"/>
  <c r="AB72" i="1"/>
  <c r="Y72" i="1"/>
  <c r="V72" i="1"/>
  <c r="X72" i="1"/>
  <c r="U72" i="1"/>
  <c r="R72" i="1"/>
  <c r="T72" i="1"/>
  <c r="Q72" i="1"/>
  <c r="N72" i="1"/>
  <c r="P72" i="1"/>
  <c r="M72" i="1"/>
  <c r="J72" i="1"/>
  <c r="L72" i="1"/>
  <c r="I72" i="1"/>
  <c r="F72" i="1"/>
  <c r="H72" i="1"/>
  <c r="E72" i="1"/>
  <c r="B72" i="1"/>
  <c r="AY71" i="1"/>
  <c r="BA71" i="1"/>
  <c r="AW71" i="1"/>
  <c r="AT71" i="1"/>
  <c r="AV71" i="1"/>
  <c r="AS71" i="1"/>
  <c r="AP71" i="1"/>
  <c r="AR71" i="1"/>
  <c r="AO71" i="1"/>
  <c r="AL71" i="1"/>
  <c r="AN71" i="1"/>
  <c r="AK71" i="1"/>
  <c r="AH71" i="1"/>
  <c r="AJ71" i="1"/>
  <c r="AG71" i="1"/>
  <c r="AD71" i="1"/>
  <c r="AF71" i="1"/>
  <c r="AC71" i="1"/>
  <c r="Z71" i="1"/>
  <c r="AB71" i="1"/>
  <c r="Y71" i="1"/>
  <c r="V71" i="1"/>
  <c r="X71" i="1"/>
  <c r="U71" i="1"/>
  <c r="R71" i="1"/>
  <c r="T71" i="1"/>
  <c r="Q71" i="1"/>
  <c r="N71" i="1"/>
  <c r="P71" i="1"/>
  <c r="M71" i="1"/>
  <c r="J71" i="1"/>
  <c r="L71" i="1"/>
  <c r="I71" i="1"/>
  <c r="F71" i="1"/>
  <c r="H71" i="1"/>
  <c r="E71" i="1"/>
  <c r="B71" i="1"/>
  <c r="AY70" i="1"/>
  <c r="BA70" i="1"/>
  <c r="AW70" i="1"/>
  <c r="AT70" i="1"/>
  <c r="AS70" i="1"/>
  <c r="AP70" i="1"/>
  <c r="AO70" i="1"/>
  <c r="AL70" i="1"/>
  <c r="AK70" i="1"/>
  <c r="AH70" i="1"/>
  <c r="AG70" i="1"/>
  <c r="AD70" i="1"/>
  <c r="AC70" i="1"/>
  <c r="Z70" i="1"/>
  <c r="Y70" i="1"/>
  <c r="V70" i="1"/>
  <c r="U70" i="1"/>
  <c r="R70" i="1"/>
  <c r="Q70" i="1"/>
  <c r="N70" i="1"/>
  <c r="M70" i="1"/>
  <c r="J70" i="1"/>
  <c r="I70" i="1"/>
  <c r="F70" i="1"/>
  <c r="E70" i="1"/>
  <c r="B70" i="1"/>
  <c r="AX69" i="1"/>
  <c r="AU69" i="1"/>
  <c r="AQ69" i="1"/>
  <c r="AM69" i="1"/>
  <c r="AI69" i="1"/>
  <c r="AE69" i="1"/>
  <c r="AA69" i="1"/>
  <c r="W69" i="1"/>
  <c r="S69" i="1"/>
  <c r="O69" i="1"/>
  <c r="K69" i="1"/>
  <c r="G69" i="1"/>
  <c r="C69" i="1"/>
  <c r="AY67" i="1"/>
  <c r="BA67" i="1"/>
  <c r="AW67" i="1"/>
  <c r="AT67" i="1"/>
  <c r="AV67" i="1"/>
  <c r="AS67" i="1"/>
  <c r="AP67" i="1"/>
  <c r="AR67" i="1"/>
  <c r="AO67" i="1"/>
  <c r="AL67" i="1"/>
  <c r="AN67" i="1"/>
  <c r="AK67" i="1"/>
  <c r="AH67" i="1"/>
  <c r="AJ67" i="1"/>
  <c r="AG67" i="1"/>
  <c r="AD67" i="1"/>
  <c r="AF67" i="1"/>
  <c r="AC67" i="1"/>
  <c r="Z67" i="1"/>
  <c r="AB67" i="1"/>
  <c r="Y67" i="1"/>
  <c r="V67" i="1"/>
  <c r="X67" i="1"/>
  <c r="U67" i="1"/>
  <c r="R67" i="1"/>
  <c r="T67" i="1"/>
  <c r="Q67" i="1"/>
  <c r="N67" i="1"/>
  <c r="P67" i="1"/>
  <c r="M67" i="1"/>
  <c r="J67" i="1"/>
  <c r="L67" i="1"/>
  <c r="I67" i="1"/>
  <c r="F67" i="1"/>
  <c r="H67" i="1"/>
  <c r="E67" i="1"/>
  <c r="B67" i="1"/>
  <c r="AY66" i="1"/>
  <c r="BA66" i="1"/>
  <c r="AW66" i="1"/>
  <c r="AT66" i="1"/>
  <c r="AV66" i="1"/>
  <c r="AS66" i="1"/>
  <c r="AP66" i="1"/>
  <c r="AR66" i="1"/>
  <c r="AO66" i="1"/>
  <c r="AL66" i="1"/>
  <c r="AN66" i="1"/>
  <c r="AK66" i="1"/>
  <c r="AH66" i="1"/>
  <c r="AJ66" i="1"/>
  <c r="AG66" i="1"/>
  <c r="AD66" i="1"/>
  <c r="AF66" i="1"/>
  <c r="AC66" i="1"/>
  <c r="Z66" i="1"/>
  <c r="AB66" i="1"/>
  <c r="Y66" i="1"/>
  <c r="V66" i="1"/>
  <c r="X66" i="1"/>
  <c r="U66" i="1"/>
  <c r="R66" i="1"/>
  <c r="T66" i="1"/>
  <c r="Q66" i="1"/>
  <c r="N66" i="1"/>
  <c r="P66" i="1"/>
  <c r="M66" i="1"/>
  <c r="J66" i="1"/>
  <c r="L66" i="1"/>
  <c r="I66" i="1"/>
  <c r="F66" i="1"/>
  <c r="H66" i="1"/>
  <c r="E66" i="1"/>
  <c r="B66" i="1"/>
  <c r="AY65" i="1"/>
  <c r="BA65" i="1"/>
  <c r="AW65" i="1"/>
  <c r="AT65" i="1"/>
  <c r="AS65" i="1"/>
  <c r="AP65" i="1"/>
  <c r="AO65" i="1"/>
  <c r="AL65" i="1"/>
  <c r="AK65" i="1"/>
  <c r="AH65" i="1"/>
  <c r="AG65" i="1"/>
  <c r="AD65" i="1"/>
  <c r="AC65" i="1"/>
  <c r="Z65" i="1"/>
  <c r="Y65" i="1"/>
  <c r="V65" i="1"/>
  <c r="U65" i="1"/>
  <c r="R65" i="1"/>
  <c r="Q65" i="1"/>
  <c r="N65" i="1"/>
  <c r="M65" i="1"/>
  <c r="J65" i="1"/>
  <c r="I65" i="1"/>
  <c r="F65" i="1"/>
  <c r="E65" i="1"/>
  <c r="B65" i="1"/>
  <c r="AX64" i="1"/>
  <c r="AU64" i="1"/>
  <c r="AQ64" i="1"/>
  <c r="AM64" i="1"/>
  <c r="AI64" i="1"/>
  <c r="AE64" i="1"/>
  <c r="AA64" i="1"/>
  <c r="W64" i="1"/>
  <c r="S64" i="1"/>
  <c r="O64" i="1"/>
  <c r="K64" i="1"/>
  <c r="G64" i="1"/>
  <c r="C64" i="1"/>
  <c r="AY62" i="1"/>
  <c r="BA62" i="1"/>
  <c r="AW62" i="1"/>
  <c r="AT62" i="1"/>
  <c r="AV62" i="1"/>
  <c r="AS62" i="1"/>
  <c r="AP62" i="1"/>
  <c r="AR62" i="1"/>
  <c r="AO62" i="1"/>
  <c r="AL62" i="1"/>
  <c r="AN62" i="1"/>
  <c r="AK62" i="1"/>
  <c r="AH62" i="1"/>
  <c r="AJ62" i="1"/>
  <c r="AG62" i="1"/>
  <c r="AD62" i="1"/>
  <c r="AF62" i="1"/>
  <c r="AC62" i="1"/>
  <c r="Z62" i="1"/>
  <c r="AB62" i="1"/>
  <c r="Y62" i="1"/>
  <c r="V62" i="1"/>
  <c r="X62" i="1"/>
  <c r="U62" i="1"/>
  <c r="R62" i="1"/>
  <c r="T62" i="1"/>
  <c r="Q62" i="1"/>
  <c r="N62" i="1"/>
  <c r="P62" i="1"/>
  <c r="M62" i="1"/>
  <c r="J62" i="1"/>
  <c r="L62" i="1"/>
  <c r="I62" i="1"/>
  <c r="F62" i="1"/>
  <c r="H62" i="1"/>
  <c r="E62" i="1"/>
  <c r="B62" i="1"/>
  <c r="AY61" i="1"/>
  <c r="BA61" i="1"/>
  <c r="AW61" i="1"/>
  <c r="AT61" i="1"/>
  <c r="AV61" i="1"/>
  <c r="AS61" i="1"/>
  <c r="AP61" i="1"/>
  <c r="AR61" i="1"/>
  <c r="AO61" i="1"/>
  <c r="AL61" i="1"/>
  <c r="AN61" i="1"/>
  <c r="AK61" i="1"/>
  <c r="AH61" i="1"/>
  <c r="AJ61" i="1"/>
  <c r="AG61" i="1"/>
  <c r="AD61" i="1"/>
  <c r="AF61" i="1"/>
  <c r="AC61" i="1"/>
  <c r="Z61" i="1"/>
  <c r="AB61" i="1"/>
  <c r="Y61" i="1"/>
  <c r="V61" i="1"/>
  <c r="X61" i="1"/>
  <c r="U61" i="1"/>
  <c r="R61" i="1"/>
  <c r="T61" i="1"/>
  <c r="Q61" i="1"/>
  <c r="N61" i="1"/>
  <c r="P61" i="1"/>
  <c r="M61" i="1"/>
  <c r="J61" i="1"/>
  <c r="L61" i="1"/>
  <c r="I61" i="1"/>
  <c r="F61" i="1"/>
  <c r="H61" i="1"/>
  <c r="E61" i="1"/>
  <c r="B61" i="1"/>
  <c r="AY60" i="1"/>
  <c r="BA60" i="1"/>
  <c r="AW60" i="1"/>
  <c r="AT60" i="1"/>
  <c r="AS60" i="1"/>
  <c r="AP60" i="1"/>
  <c r="AO60" i="1"/>
  <c r="AL60" i="1"/>
  <c r="AK60" i="1"/>
  <c r="AH60" i="1"/>
  <c r="AG60" i="1"/>
  <c r="AD60" i="1"/>
  <c r="AC60" i="1"/>
  <c r="Z60" i="1"/>
  <c r="Y60" i="1"/>
  <c r="V60" i="1"/>
  <c r="U60" i="1"/>
  <c r="R60" i="1"/>
  <c r="Q60" i="1"/>
  <c r="N60" i="1"/>
  <c r="M60" i="1"/>
  <c r="J60" i="1"/>
  <c r="I60" i="1"/>
  <c r="F60" i="1"/>
  <c r="E60" i="1"/>
  <c r="B60" i="1"/>
  <c r="AX59" i="1"/>
  <c r="AU59" i="1"/>
  <c r="AQ59" i="1"/>
  <c r="AM59" i="1"/>
  <c r="AI59" i="1"/>
  <c r="AE59" i="1"/>
  <c r="AA59" i="1"/>
  <c r="W59" i="1"/>
  <c r="S59" i="1"/>
  <c r="O59" i="1"/>
  <c r="K59" i="1"/>
  <c r="G59" i="1"/>
  <c r="C59" i="1"/>
  <c r="AU58" i="1"/>
  <c r="AW58" i="1"/>
  <c r="AQ58" i="1"/>
  <c r="AS58" i="1"/>
  <c r="AP58" i="1"/>
  <c r="AR58" i="1"/>
  <c r="AM58" i="1"/>
  <c r="AO58" i="1"/>
  <c r="AL58" i="1"/>
  <c r="AN58" i="1"/>
  <c r="AI58" i="1"/>
  <c r="AK58" i="1"/>
  <c r="AH58" i="1"/>
  <c r="AJ58" i="1"/>
  <c r="AE58" i="1"/>
  <c r="AG58" i="1"/>
  <c r="AD58" i="1"/>
  <c r="AF58" i="1"/>
  <c r="AA58" i="1"/>
  <c r="AC58" i="1"/>
  <c r="Z58" i="1"/>
  <c r="AB58" i="1"/>
  <c r="W58" i="1"/>
  <c r="Y58" i="1"/>
  <c r="V58" i="1"/>
  <c r="X58" i="1"/>
  <c r="S58" i="1"/>
  <c r="U58" i="1"/>
  <c r="R58" i="1"/>
  <c r="T58" i="1"/>
  <c r="O58" i="1"/>
  <c r="Q58" i="1"/>
  <c r="N58" i="1"/>
  <c r="P58" i="1"/>
  <c r="K58" i="1"/>
  <c r="M58" i="1"/>
  <c r="J58" i="1"/>
  <c r="L58" i="1"/>
  <c r="G58" i="1"/>
  <c r="I58" i="1"/>
  <c r="F58" i="1"/>
  <c r="H58" i="1"/>
  <c r="C58" i="1"/>
  <c r="B58" i="1"/>
  <c r="AY57" i="1"/>
  <c r="BA57" i="1"/>
  <c r="AW57" i="1"/>
  <c r="AT57" i="1"/>
  <c r="AS57" i="1"/>
  <c r="AR57" i="1"/>
  <c r="AO57" i="1"/>
  <c r="AN57" i="1"/>
  <c r="AK57" i="1"/>
  <c r="AJ57" i="1"/>
  <c r="AG57" i="1"/>
  <c r="AF57" i="1"/>
  <c r="AC57" i="1"/>
  <c r="AB57" i="1"/>
  <c r="Y57" i="1"/>
  <c r="X57" i="1"/>
  <c r="U57" i="1"/>
  <c r="T57" i="1"/>
  <c r="Q57" i="1"/>
  <c r="P57" i="1"/>
  <c r="M57" i="1"/>
  <c r="L57" i="1"/>
  <c r="I57" i="1"/>
  <c r="H57" i="1"/>
  <c r="E57" i="1"/>
  <c r="D57" i="1"/>
  <c r="AY56" i="1"/>
  <c r="BA56" i="1"/>
  <c r="AW56" i="1"/>
  <c r="AT56" i="1"/>
  <c r="AS56" i="1"/>
  <c r="AR56" i="1"/>
  <c r="AO56" i="1"/>
  <c r="AN56" i="1"/>
  <c r="AK56" i="1"/>
  <c r="AJ56" i="1"/>
  <c r="AG56" i="1"/>
  <c r="AF56" i="1"/>
  <c r="AC56" i="1"/>
  <c r="AB56" i="1"/>
  <c r="Y56" i="1"/>
  <c r="X56" i="1"/>
  <c r="U56" i="1"/>
  <c r="T56" i="1"/>
  <c r="Q56" i="1"/>
  <c r="P56" i="1"/>
  <c r="M56" i="1"/>
  <c r="L56" i="1"/>
  <c r="I56" i="1"/>
  <c r="H56" i="1"/>
  <c r="E56" i="1"/>
  <c r="D56" i="1"/>
  <c r="AY55" i="1"/>
  <c r="BA55" i="1"/>
  <c r="AW55" i="1"/>
  <c r="AT55" i="1"/>
  <c r="AS55" i="1"/>
  <c r="AR55" i="1"/>
  <c r="AO55" i="1"/>
  <c r="AN55" i="1"/>
  <c r="AK55" i="1"/>
  <c r="AJ55" i="1"/>
  <c r="AG55" i="1"/>
  <c r="AF55" i="1"/>
  <c r="AC55" i="1"/>
  <c r="AB55" i="1"/>
  <c r="Y55" i="1"/>
  <c r="X55" i="1"/>
  <c r="U55" i="1"/>
  <c r="T55" i="1"/>
  <c r="Q55" i="1"/>
  <c r="P55" i="1"/>
  <c r="M55" i="1"/>
  <c r="L55" i="1"/>
  <c r="I55" i="1"/>
  <c r="H55" i="1"/>
  <c r="E55" i="1"/>
  <c r="D55" i="1"/>
  <c r="AY54" i="1"/>
  <c r="BA54" i="1"/>
  <c r="AX54" i="1"/>
  <c r="AZ54" i="1"/>
  <c r="AW54" i="1"/>
  <c r="AV54" i="1"/>
  <c r="AS54" i="1"/>
  <c r="AR54" i="1"/>
  <c r="AO54" i="1"/>
  <c r="AN54" i="1"/>
  <c r="AK54" i="1"/>
  <c r="AJ54" i="1"/>
  <c r="AG54" i="1"/>
  <c r="AF54" i="1"/>
  <c r="AC54" i="1"/>
  <c r="AB54" i="1"/>
  <c r="Y54" i="1"/>
  <c r="X54" i="1"/>
  <c r="U54" i="1"/>
  <c r="T54" i="1"/>
  <c r="Q54" i="1"/>
  <c r="P54" i="1"/>
  <c r="M54" i="1"/>
  <c r="L54" i="1"/>
  <c r="I54" i="1"/>
  <c r="H54" i="1"/>
  <c r="E54" i="1"/>
  <c r="D54" i="1"/>
  <c r="AY52" i="1"/>
  <c r="BA52" i="1"/>
  <c r="AW52" i="1"/>
  <c r="AT52" i="1"/>
  <c r="AV52" i="1"/>
  <c r="AS52" i="1"/>
  <c r="AP52" i="1"/>
  <c r="AR52" i="1"/>
  <c r="AO52" i="1"/>
  <c r="AL52" i="1"/>
  <c r="AN52" i="1"/>
  <c r="AK52" i="1"/>
  <c r="AH52" i="1"/>
  <c r="AJ52" i="1"/>
  <c r="AG52" i="1"/>
  <c r="AD52" i="1"/>
  <c r="AF52" i="1"/>
  <c r="AC52" i="1"/>
  <c r="Z52" i="1"/>
  <c r="AB52" i="1"/>
  <c r="Y52" i="1"/>
  <c r="V52" i="1"/>
  <c r="X52" i="1"/>
  <c r="U52" i="1"/>
  <c r="R52" i="1"/>
  <c r="T52" i="1"/>
  <c r="Q52" i="1"/>
  <c r="N52" i="1"/>
  <c r="P52" i="1"/>
  <c r="M52" i="1"/>
  <c r="J52" i="1"/>
  <c r="L52" i="1"/>
  <c r="I52" i="1"/>
  <c r="F52" i="1"/>
  <c r="H52" i="1"/>
  <c r="E52" i="1"/>
  <c r="B52" i="1"/>
  <c r="AY51" i="1"/>
  <c r="BA51" i="1"/>
  <c r="AW51" i="1"/>
  <c r="AT51" i="1"/>
  <c r="AV51" i="1"/>
  <c r="AS51" i="1"/>
  <c r="AP51" i="1"/>
  <c r="AR51" i="1"/>
  <c r="AO51" i="1"/>
  <c r="AL51" i="1"/>
  <c r="AN51" i="1"/>
  <c r="AK51" i="1"/>
  <c r="AH51" i="1"/>
  <c r="AJ51" i="1"/>
  <c r="AG51" i="1"/>
  <c r="AD51" i="1"/>
  <c r="AF51" i="1"/>
  <c r="AC51" i="1"/>
  <c r="Z51" i="1"/>
  <c r="AB51" i="1"/>
  <c r="Y51" i="1"/>
  <c r="V51" i="1"/>
  <c r="X51" i="1"/>
  <c r="U51" i="1"/>
  <c r="R51" i="1"/>
  <c r="T51" i="1"/>
  <c r="Q51" i="1"/>
  <c r="N51" i="1"/>
  <c r="P51" i="1"/>
  <c r="M51" i="1"/>
  <c r="J51" i="1"/>
  <c r="L51" i="1"/>
  <c r="I51" i="1"/>
  <c r="F51" i="1"/>
  <c r="H51" i="1"/>
  <c r="E51" i="1"/>
  <c r="B51" i="1"/>
  <c r="AY50" i="1"/>
  <c r="BA50" i="1"/>
  <c r="AW50" i="1"/>
  <c r="AT50" i="1"/>
  <c r="AS50" i="1"/>
  <c r="AP50" i="1"/>
  <c r="AO50" i="1"/>
  <c r="AL50" i="1"/>
  <c r="AK50" i="1"/>
  <c r="AH50" i="1"/>
  <c r="AG50" i="1"/>
  <c r="AD50" i="1"/>
  <c r="AC50" i="1"/>
  <c r="Z50" i="1"/>
  <c r="Y50" i="1"/>
  <c r="V50" i="1"/>
  <c r="U50" i="1"/>
  <c r="R50" i="1"/>
  <c r="Q50" i="1"/>
  <c r="N50" i="1"/>
  <c r="M50" i="1"/>
  <c r="J50" i="1"/>
  <c r="I50" i="1"/>
  <c r="F50" i="1"/>
  <c r="E50" i="1"/>
  <c r="B50" i="1"/>
  <c r="AX49" i="1"/>
  <c r="AU49" i="1"/>
  <c r="AQ49" i="1"/>
  <c r="AM49" i="1"/>
  <c r="AI49" i="1"/>
  <c r="AE49" i="1"/>
  <c r="AA49" i="1"/>
  <c r="W49" i="1"/>
  <c r="S49" i="1"/>
  <c r="O49" i="1"/>
  <c r="K49" i="1"/>
  <c r="G49" i="1"/>
  <c r="C49" i="1"/>
  <c r="B48" i="1"/>
  <c r="AY47" i="1"/>
  <c r="BA47" i="1"/>
  <c r="AW47" i="1"/>
  <c r="AT47" i="1"/>
  <c r="AV47" i="1"/>
  <c r="AS47" i="1"/>
  <c r="AP47" i="1"/>
  <c r="AR47" i="1"/>
  <c r="AO47" i="1"/>
  <c r="AL47" i="1"/>
  <c r="AN47" i="1"/>
  <c r="AK47" i="1"/>
  <c r="AH47" i="1"/>
  <c r="AJ47" i="1"/>
  <c r="AG47" i="1"/>
  <c r="AD47" i="1"/>
  <c r="AF47" i="1"/>
  <c r="AC47" i="1"/>
  <c r="Z47" i="1"/>
  <c r="AB47" i="1"/>
  <c r="Y47" i="1"/>
  <c r="V47" i="1"/>
  <c r="X47" i="1"/>
  <c r="U47" i="1"/>
  <c r="R47" i="1"/>
  <c r="T47" i="1"/>
  <c r="Q47" i="1"/>
  <c r="N47" i="1"/>
  <c r="P47" i="1"/>
  <c r="M47" i="1"/>
  <c r="J47" i="1"/>
  <c r="L47" i="1"/>
  <c r="I47" i="1"/>
  <c r="F47" i="1"/>
  <c r="E47" i="1"/>
  <c r="D47" i="1"/>
  <c r="AY46" i="1"/>
  <c r="BA46" i="1"/>
  <c r="AW46" i="1"/>
  <c r="AT46" i="1"/>
  <c r="AV46" i="1"/>
  <c r="AS46" i="1"/>
  <c r="AP46" i="1"/>
  <c r="AR46" i="1"/>
  <c r="AO46" i="1"/>
  <c r="AL46" i="1"/>
  <c r="AN46" i="1"/>
  <c r="AK46" i="1"/>
  <c r="AH46" i="1"/>
  <c r="AJ46" i="1"/>
  <c r="AG46" i="1"/>
  <c r="AD46" i="1"/>
  <c r="AF46" i="1"/>
  <c r="AC46" i="1"/>
  <c r="Z46" i="1"/>
  <c r="AB46" i="1"/>
  <c r="Y46" i="1"/>
  <c r="V46" i="1"/>
  <c r="X46" i="1"/>
  <c r="U46" i="1"/>
  <c r="R46" i="1"/>
  <c r="T46" i="1"/>
  <c r="Q46" i="1"/>
  <c r="N46" i="1"/>
  <c r="P46" i="1"/>
  <c r="M46" i="1"/>
  <c r="J46" i="1"/>
  <c r="L46" i="1"/>
  <c r="I46" i="1"/>
  <c r="F46" i="1"/>
  <c r="E46" i="1"/>
  <c r="D46" i="1"/>
  <c r="AY45" i="1"/>
  <c r="BA45" i="1"/>
  <c r="AW45" i="1"/>
  <c r="AT45" i="1"/>
  <c r="AS45" i="1"/>
  <c r="AP45" i="1"/>
  <c r="AO45" i="1"/>
  <c r="AL45" i="1"/>
  <c r="AK45" i="1"/>
  <c r="AH45" i="1"/>
  <c r="AG45" i="1"/>
  <c r="AD45" i="1"/>
  <c r="AC45" i="1"/>
  <c r="Z45" i="1"/>
  <c r="Y45" i="1"/>
  <c r="V45" i="1"/>
  <c r="U45" i="1"/>
  <c r="R45" i="1"/>
  <c r="Q45" i="1"/>
  <c r="N45" i="1"/>
  <c r="M45" i="1"/>
  <c r="J45" i="1"/>
  <c r="I45" i="1"/>
  <c r="F45" i="1"/>
  <c r="E45" i="1"/>
  <c r="D45" i="1"/>
  <c r="AX44" i="1"/>
  <c r="AU44" i="1"/>
  <c r="AQ44" i="1"/>
  <c r="AM44" i="1"/>
  <c r="AI44" i="1"/>
  <c r="AE44" i="1"/>
  <c r="AA44" i="1"/>
  <c r="W44" i="1"/>
  <c r="S44" i="1"/>
  <c r="O44" i="1"/>
  <c r="K44" i="1"/>
  <c r="G44" i="1"/>
  <c r="C44" i="1"/>
  <c r="AY42" i="1"/>
  <c r="BA42" i="1"/>
  <c r="AW42" i="1"/>
  <c r="AT42" i="1"/>
  <c r="AV42" i="1"/>
  <c r="AS42" i="1"/>
  <c r="AP42" i="1"/>
  <c r="AR42" i="1"/>
  <c r="AO42" i="1"/>
  <c r="AL42" i="1"/>
  <c r="AN42" i="1"/>
  <c r="AK42" i="1"/>
  <c r="AH42" i="1"/>
  <c r="AJ42" i="1"/>
  <c r="AG42" i="1"/>
  <c r="AD42" i="1"/>
  <c r="AF42" i="1"/>
  <c r="AC42" i="1"/>
  <c r="Z42" i="1"/>
  <c r="AB42" i="1"/>
  <c r="Y42" i="1"/>
  <c r="V42" i="1"/>
  <c r="X42" i="1"/>
  <c r="U42" i="1"/>
  <c r="R42" i="1"/>
  <c r="T42" i="1"/>
  <c r="Q42" i="1"/>
  <c r="N42" i="1"/>
  <c r="P42" i="1"/>
  <c r="M42" i="1"/>
  <c r="J42" i="1"/>
  <c r="L42" i="1"/>
  <c r="I42" i="1"/>
  <c r="F42" i="1"/>
  <c r="H42" i="1"/>
  <c r="E42" i="1"/>
  <c r="B42" i="1"/>
  <c r="AY41" i="1"/>
  <c r="BA41" i="1"/>
  <c r="AW41" i="1"/>
  <c r="AT41" i="1"/>
  <c r="AV41" i="1"/>
  <c r="AS41" i="1"/>
  <c r="AP41" i="1"/>
  <c r="AR41" i="1"/>
  <c r="AO41" i="1"/>
  <c r="AL41" i="1"/>
  <c r="AN41" i="1"/>
  <c r="AK41" i="1"/>
  <c r="AH41" i="1"/>
  <c r="AJ41" i="1"/>
  <c r="AG41" i="1"/>
  <c r="AD41" i="1"/>
  <c r="AF41" i="1"/>
  <c r="AC41" i="1"/>
  <c r="Z41" i="1"/>
  <c r="AB41" i="1"/>
  <c r="Y41" i="1"/>
  <c r="V41" i="1"/>
  <c r="X41" i="1"/>
  <c r="U41" i="1"/>
  <c r="R41" i="1"/>
  <c r="T41" i="1"/>
  <c r="Q41" i="1"/>
  <c r="N41" i="1"/>
  <c r="P41" i="1"/>
  <c r="M41" i="1"/>
  <c r="J41" i="1"/>
  <c r="L41" i="1"/>
  <c r="I41" i="1"/>
  <c r="F41" i="1"/>
  <c r="H41" i="1"/>
  <c r="E41" i="1"/>
  <c r="B41" i="1"/>
  <c r="AY40" i="1"/>
  <c r="BA40" i="1"/>
  <c r="AW40" i="1"/>
  <c r="AT40" i="1"/>
  <c r="AS40" i="1"/>
  <c r="AP40" i="1"/>
  <c r="AO40" i="1"/>
  <c r="AL40" i="1"/>
  <c r="AK40" i="1"/>
  <c r="AH40" i="1"/>
  <c r="AG40" i="1"/>
  <c r="AD40" i="1"/>
  <c r="AC40" i="1"/>
  <c r="Z40" i="1"/>
  <c r="Y40" i="1"/>
  <c r="V40" i="1"/>
  <c r="U40" i="1"/>
  <c r="R40" i="1"/>
  <c r="Q40" i="1"/>
  <c r="N40" i="1"/>
  <c r="M40" i="1"/>
  <c r="J40" i="1"/>
  <c r="I40" i="1"/>
  <c r="F40" i="1"/>
  <c r="E40" i="1"/>
  <c r="B40" i="1"/>
  <c r="AX39" i="1"/>
  <c r="AU39" i="1"/>
  <c r="AQ39" i="1"/>
  <c r="AM39" i="1"/>
  <c r="AI39" i="1"/>
  <c r="AE39" i="1"/>
  <c r="AA39" i="1"/>
  <c r="W39" i="1"/>
  <c r="S39" i="1"/>
  <c r="O39" i="1"/>
  <c r="K39" i="1"/>
  <c r="G39" i="1"/>
  <c r="C39" i="1"/>
  <c r="AY37" i="1"/>
  <c r="BA37" i="1"/>
  <c r="AW37" i="1"/>
  <c r="AT37" i="1"/>
  <c r="AV37" i="1"/>
  <c r="AS37" i="1"/>
  <c r="AP37" i="1"/>
  <c r="AR37" i="1"/>
  <c r="AO37" i="1"/>
  <c r="AL37" i="1"/>
  <c r="AN37" i="1"/>
  <c r="AK37" i="1"/>
  <c r="AH37" i="1"/>
  <c r="AJ37" i="1"/>
  <c r="AG37" i="1"/>
  <c r="AD37" i="1"/>
  <c r="AF37" i="1"/>
  <c r="AC37" i="1"/>
  <c r="Z37" i="1"/>
  <c r="AB37" i="1"/>
  <c r="Y37" i="1"/>
  <c r="V37" i="1"/>
  <c r="X37" i="1"/>
  <c r="U37" i="1"/>
  <c r="R37" i="1"/>
  <c r="T37" i="1"/>
  <c r="Q37" i="1"/>
  <c r="N37" i="1"/>
  <c r="P37" i="1"/>
  <c r="M37" i="1"/>
  <c r="J37" i="1"/>
  <c r="L37" i="1"/>
  <c r="I37" i="1"/>
  <c r="F37" i="1"/>
  <c r="H37" i="1"/>
  <c r="E37" i="1"/>
  <c r="B37" i="1"/>
  <c r="AY36" i="1"/>
  <c r="BA36" i="1"/>
  <c r="AW36" i="1"/>
  <c r="AT36" i="1"/>
  <c r="AV36" i="1"/>
  <c r="AS36" i="1"/>
  <c r="AP36" i="1"/>
  <c r="AR36" i="1"/>
  <c r="AO36" i="1"/>
  <c r="AL36" i="1"/>
  <c r="AN36" i="1"/>
  <c r="AK36" i="1"/>
  <c r="AH36" i="1"/>
  <c r="AJ36" i="1"/>
  <c r="AG36" i="1"/>
  <c r="AD36" i="1"/>
  <c r="AF36" i="1"/>
  <c r="AC36" i="1"/>
  <c r="Z36" i="1"/>
  <c r="AB36" i="1"/>
  <c r="Y36" i="1"/>
  <c r="V36" i="1"/>
  <c r="X36" i="1"/>
  <c r="U36" i="1"/>
  <c r="R36" i="1"/>
  <c r="T36" i="1"/>
  <c r="Q36" i="1"/>
  <c r="N36" i="1"/>
  <c r="P36" i="1"/>
  <c r="M36" i="1"/>
  <c r="J36" i="1"/>
  <c r="L36" i="1"/>
  <c r="I36" i="1"/>
  <c r="F36" i="1"/>
  <c r="H36" i="1"/>
  <c r="E36" i="1"/>
  <c r="B36" i="1"/>
  <c r="AY35" i="1"/>
  <c r="BA35" i="1"/>
  <c r="AW35" i="1"/>
  <c r="AT35" i="1"/>
  <c r="AS35" i="1"/>
  <c r="AP35" i="1"/>
  <c r="AO35" i="1"/>
  <c r="AL35" i="1"/>
  <c r="AK35" i="1"/>
  <c r="AH35" i="1"/>
  <c r="AG35" i="1"/>
  <c r="AD35" i="1"/>
  <c r="AC35" i="1"/>
  <c r="Z35" i="1"/>
  <c r="Y35" i="1"/>
  <c r="V35" i="1"/>
  <c r="U35" i="1"/>
  <c r="R35" i="1"/>
  <c r="Q35" i="1"/>
  <c r="N35" i="1"/>
  <c r="M35" i="1"/>
  <c r="J35" i="1"/>
  <c r="I35" i="1"/>
  <c r="F35" i="1"/>
  <c r="E35" i="1"/>
  <c r="B35" i="1"/>
  <c r="AX34" i="1"/>
  <c r="AU34" i="1"/>
  <c r="AQ34" i="1"/>
  <c r="AM34" i="1"/>
  <c r="AI34" i="1"/>
  <c r="AE34" i="1"/>
  <c r="AA34" i="1"/>
  <c r="W34" i="1"/>
  <c r="S34" i="1"/>
  <c r="O34" i="1"/>
  <c r="K34" i="1"/>
  <c r="G34" i="1"/>
  <c r="C34" i="1"/>
  <c r="J33" i="1"/>
  <c r="B33" i="1"/>
  <c r="AY32" i="1"/>
  <c r="BA32" i="1"/>
  <c r="AW32" i="1"/>
  <c r="AT32" i="1"/>
  <c r="AS32" i="1"/>
  <c r="AP32" i="1"/>
  <c r="AO32" i="1"/>
  <c r="AL32" i="1"/>
  <c r="AK32" i="1"/>
  <c r="AH32" i="1"/>
  <c r="AJ32" i="1"/>
  <c r="AG32" i="1"/>
  <c r="AD32" i="1"/>
  <c r="AC32" i="1"/>
  <c r="Z32" i="1"/>
  <c r="Y32" i="1"/>
  <c r="V32" i="1"/>
  <c r="U32" i="1"/>
  <c r="R32" i="1"/>
  <c r="T32" i="1"/>
  <c r="Q32" i="1"/>
  <c r="N32" i="1"/>
  <c r="P32" i="1"/>
  <c r="M32" i="1"/>
  <c r="L32" i="1"/>
  <c r="I32" i="1"/>
  <c r="F32" i="1"/>
  <c r="E32" i="1"/>
  <c r="D32" i="1"/>
  <c r="AY31" i="1"/>
  <c r="BA31" i="1"/>
  <c r="AW31" i="1"/>
  <c r="AV31" i="1"/>
  <c r="AS31" i="1"/>
  <c r="AR31" i="1"/>
  <c r="AO31" i="1"/>
  <c r="AN31" i="1"/>
  <c r="AK31" i="1"/>
  <c r="AH31" i="1"/>
  <c r="AJ31" i="1"/>
  <c r="AG31" i="1"/>
  <c r="AF31" i="1"/>
  <c r="AC31" i="1"/>
  <c r="AB31" i="1"/>
  <c r="Y31" i="1"/>
  <c r="X31" i="1"/>
  <c r="U31" i="1"/>
  <c r="R31" i="1"/>
  <c r="T31" i="1"/>
  <c r="Q31" i="1"/>
  <c r="N31" i="1"/>
  <c r="P31" i="1"/>
  <c r="M31" i="1"/>
  <c r="L31" i="1"/>
  <c r="I31" i="1"/>
  <c r="F31" i="1"/>
  <c r="E31" i="1"/>
  <c r="D31" i="1"/>
  <c r="AY30" i="1"/>
  <c r="BA30" i="1"/>
  <c r="AW30" i="1"/>
  <c r="AV30" i="1"/>
  <c r="AS30" i="1"/>
  <c r="AR30" i="1"/>
  <c r="AO30" i="1"/>
  <c r="AN30" i="1"/>
  <c r="AK30" i="1"/>
  <c r="AH30" i="1"/>
  <c r="AG30" i="1"/>
  <c r="AF30" i="1"/>
  <c r="AC30" i="1"/>
  <c r="AB30" i="1"/>
  <c r="Y30" i="1"/>
  <c r="X30" i="1"/>
  <c r="U30" i="1"/>
  <c r="R30" i="1"/>
  <c r="Q30" i="1"/>
  <c r="N30" i="1"/>
  <c r="M30" i="1"/>
  <c r="L30" i="1"/>
  <c r="I30" i="1"/>
  <c r="F30" i="1"/>
  <c r="E30" i="1"/>
  <c r="D30" i="1"/>
  <c r="AX29" i="1"/>
  <c r="AU29" i="1"/>
  <c r="AQ29" i="1"/>
  <c r="AM29" i="1"/>
  <c r="AI29" i="1"/>
  <c r="AE29" i="1"/>
  <c r="AA29" i="1"/>
  <c r="W29" i="1"/>
  <c r="S29" i="1"/>
  <c r="O29" i="1"/>
  <c r="K29" i="1"/>
  <c r="G29" i="1"/>
  <c r="C29" i="1"/>
  <c r="AY27" i="1"/>
  <c r="BA27" i="1"/>
  <c r="AW27" i="1"/>
  <c r="AT27" i="1"/>
  <c r="AV27" i="1"/>
  <c r="AS27" i="1"/>
  <c r="AP27" i="1"/>
  <c r="AR27" i="1"/>
  <c r="AO27" i="1"/>
  <c r="AL27" i="1"/>
  <c r="AN27" i="1"/>
  <c r="AK27" i="1"/>
  <c r="AH27" i="1"/>
  <c r="AJ27" i="1"/>
  <c r="AG27" i="1"/>
  <c r="AD27" i="1"/>
  <c r="AF27" i="1"/>
  <c r="AC27" i="1"/>
  <c r="Z27" i="1"/>
  <c r="AB27" i="1"/>
  <c r="Y27" i="1"/>
  <c r="V27" i="1"/>
  <c r="X27" i="1"/>
  <c r="U27" i="1"/>
  <c r="R27" i="1"/>
  <c r="T27" i="1"/>
  <c r="Q27" i="1"/>
  <c r="N27" i="1"/>
  <c r="P27" i="1"/>
  <c r="M27" i="1"/>
  <c r="J27" i="1"/>
  <c r="L27" i="1"/>
  <c r="I27" i="1"/>
  <c r="F27" i="1"/>
  <c r="H27" i="1"/>
  <c r="E27" i="1"/>
  <c r="B27" i="1"/>
  <c r="AY26" i="1"/>
  <c r="BA26" i="1"/>
  <c r="AW26" i="1"/>
  <c r="AT26" i="1"/>
  <c r="AV26" i="1"/>
  <c r="AS26" i="1"/>
  <c r="AP26" i="1"/>
  <c r="AR26" i="1"/>
  <c r="AO26" i="1"/>
  <c r="AL26" i="1"/>
  <c r="AN26" i="1"/>
  <c r="AK26" i="1"/>
  <c r="AH26" i="1"/>
  <c r="AJ26" i="1"/>
  <c r="AG26" i="1"/>
  <c r="AD26" i="1"/>
  <c r="AF26" i="1"/>
  <c r="AC26" i="1"/>
  <c r="Z26" i="1"/>
  <c r="AB26" i="1"/>
  <c r="Y26" i="1"/>
  <c r="V26" i="1"/>
  <c r="X26" i="1"/>
  <c r="U26" i="1"/>
  <c r="R26" i="1"/>
  <c r="T26" i="1"/>
  <c r="Q26" i="1"/>
  <c r="N26" i="1"/>
  <c r="P26" i="1"/>
  <c r="M26" i="1"/>
  <c r="J26" i="1"/>
  <c r="L26" i="1"/>
  <c r="I26" i="1"/>
  <c r="F26" i="1"/>
  <c r="H26" i="1"/>
  <c r="E26" i="1"/>
  <c r="B26" i="1"/>
  <c r="AY25" i="1"/>
  <c r="BA25" i="1"/>
  <c r="AW25" i="1"/>
  <c r="AT25" i="1"/>
  <c r="AS25" i="1"/>
  <c r="AP25" i="1"/>
  <c r="AO25" i="1"/>
  <c r="AL25" i="1"/>
  <c r="AK25" i="1"/>
  <c r="AH25" i="1"/>
  <c r="AG25" i="1"/>
  <c r="AD25" i="1"/>
  <c r="AC25" i="1"/>
  <c r="Z25" i="1"/>
  <c r="Y25" i="1"/>
  <c r="V25" i="1"/>
  <c r="U25" i="1"/>
  <c r="R25" i="1"/>
  <c r="Q25" i="1"/>
  <c r="N25" i="1"/>
  <c r="M25" i="1"/>
  <c r="J25" i="1"/>
  <c r="I25" i="1"/>
  <c r="F25" i="1"/>
  <c r="E25" i="1"/>
  <c r="B25" i="1"/>
  <c r="AX24" i="1"/>
  <c r="AU24" i="1"/>
  <c r="AQ24" i="1"/>
  <c r="AM24" i="1"/>
  <c r="AI24" i="1"/>
  <c r="AE24" i="1"/>
  <c r="AA24" i="1"/>
  <c r="W24" i="1"/>
  <c r="S24" i="1"/>
  <c r="O24" i="1"/>
  <c r="K24" i="1"/>
  <c r="G24" i="1"/>
  <c r="C24" i="1"/>
  <c r="AY22" i="1"/>
  <c r="BA22" i="1"/>
  <c r="AW22" i="1"/>
  <c r="AT22" i="1"/>
  <c r="AV22" i="1"/>
  <c r="AS22" i="1"/>
  <c r="AP22" i="1"/>
  <c r="AR22" i="1"/>
  <c r="AO22" i="1"/>
  <c r="AL22" i="1"/>
  <c r="AN22" i="1"/>
  <c r="AK22" i="1"/>
  <c r="AH22" i="1"/>
  <c r="AJ22" i="1"/>
  <c r="AG22" i="1"/>
  <c r="AD22" i="1"/>
  <c r="AF22" i="1"/>
  <c r="AC22" i="1"/>
  <c r="Z22" i="1"/>
  <c r="AB22" i="1"/>
  <c r="Y22" i="1"/>
  <c r="V22" i="1"/>
  <c r="X22" i="1"/>
  <c r="U22" i="1"/>
  <c r="R22" i="1"/>
  <c r="T22" i="1"/>
  <c r="Q22" i="1"/>
  <c r="N22" i="1"/>
  <c r="P22" i="1"/>
  <c r="M22" i="1"/>
  <c r="J22" i="1"/>
  <c r="L22" i="1"/>
  <c r="I22" i="1"/>
  <c r="F22" i="1"/>
  <c r="H22" i="1"/>
  <c r="E22" i="1"/>
  <c r="B22" i="1"/>
  <c r="AY21" i="1"/>
  <c r="BA21" i="1"/>
  <c r="AW21" i="1"/>
  <c r="AT21" i="1"/>
  <c r="AV21" i="1"/>
  <c r="AS21" i="1"/>
  <c r="AP21" i="1"/>
  <c r="AR21" i="1"/>
  <c r="AO21" i="1"/>
  <c r="AL21" i="1"/>
  <c r="AN21" i="1"/>
  <c r="AK21" i="1"/>
  <c r="AH21" i="1"/>
  <c r="AJ21" i="1"/>
  <c r="AG21" i="1"/>
  <c r="AD21" i="1"/>
  <c r="AF21" i="1"/>
  <c r="AC21" i="1"/>
  <c r="Z21" i="1"/>
  <c r="AB21" i="1"/>
  <c r="Y21" i="1"/>
  <c r="V21" i="1"/>
  <c r="X21" i="1"/>
  <c r="U21" i="1"/>
  <c r="R21" i="1"/>
  <c r="T21" i="1"/>
  <c r="Q21" i="1"/>
  <c r="N21" i="1"/>
  <c r="P21" i="1"/>
  <c r="M21" i="1"/>
  <c r="J21" i="1"/>
  <c r="L21" i="1"/>
  <c r="I21" i="1"/>
  <c r="F21" i="1"/>
  <c r="H21" i="1"/>
  <c r="E21" i="1"/>
  <c r="B21" i="1"/>
  <c r="AY20" i="1"/>
  <c r="BA20" i="1"/>
  <c r="AW20" i="1"/>
  <c r="AT20" i="1"/>
  <c r="AS20" i="1"/>
  <c r="AP20" i="1"/>
  <c r="AO20" i="1"/>
  <c r="AL20" i="1"/>
  <c r="AK20" i="1"/>
  <c r="AH20" i="1"/>
  <c r="AG20" i="1"/>
  <c r="AD20" i="1"/>
  <c r="AC20" i="1"/>
  <c r="Z20" i="1"/>
  <c r="Y20" i="1"/>
  <c r="V20" i="1"/>
  <c r="U20" i="1"/>
  <c r="R20" i="1"/>
  <c r="Q20" i="1"/>
  <c r="N20" i="1"/>
  <c r="M20" i="1"/>
  <c r="J20" i="1"/>
  <c r="I20" i="1"/>
  <c r="F20" i="1"/>
  <c r="E20" i="1"/>
  <c r="B20" i="1"/>
  <c r="AX19" i="1"/>
  <c r="AU19" i="1"/>
  <c r="AQ19" i="1"/>
  <c r="AM19" i="1"/>
  <c r="AI19" i="1"/>
  <c r="AE19" i="1"/>
  <c r="AA19" i="1"/>
  <c r="W19" i="1"/>
  <c r="S19" i="1"/>
  <c r="O19" i="1"/>
  <c r="K19" i="1"/>
  <c r="G19" i="1"/>
  <c r="C19" i="1"/>
  <c r="AY17" i="1"/>
  <c r="BA17" i="1"/>
  <c r="AW17" i="1"/>
  <c r="AT17" i="1"/>
  <c r="AV17" i="1"/>
  <c r="AS17" i="1"/>
  <c r="AP17" i="1"/>
  <c r="AR17" i="1"/>
  <c r="AO17" i="1"/>
  <c r="AL17" i="1"/>
  <c r="AN17" i="1"/>
  <c r="AK17" i="1"/>
  <c r="AH17" i="1"/>
  <c r="AJ17" i="1"/>
  <c r="AG17" i="1"/>
  <c r="AD17" i="1"/>
  <c r="AF17" i="1"/>
  <c r="AC17" i="1"/>
  <c r="Z17" i="1"/>
  <c r="AB17" i="1"/>
  <c r="Y17" i="1"/>
  <c r="V17" i="1"/>
  <c r="X17" i="1"/>
  <c r="U17" i="1"/>
  <c r="R17" i="1"/>
  <c r="T17" i="1"/>
  <c r="Q17" i="1"/>
  <c r="N17" i="1"/>
  <c r="P17" i="1"/>
  <c r="M17" i="1"/>
  <c r="J17" i="1"/>
  <c r="L17" i="1"/>
  <c r="I17" i="1"/>
  <c r="F17" i="1"/>
  <c r="H17" i="1"/>
  <c r="E17" i="1"/>
  <c r="B17" i="1"/>
  <c r="AY16" i="1"/>
  <c r="BA16" i="1"/>
  <c r="AW16" i="1"/>
  <c r="AT16" i="1"/>
  <c r="AV16" i="1"/>
  <c r="AS16" i="1"/>
  <c r="AP16" i="1"/>
  <c r="AR16" i="1"/>
  <c r="AO16" i="1"/>
  <c r="AL16" i="1"/>
  <c r="AN16" i="1"/>
  <c r="AK16" i="1"/>
  <c r="AH16" i="1"/>
  <c r="AJ16" i="1"/>
  <c r="AG16" i="1"/>
  <c r="AD16" i="1"/>
  <c r="AF16" i="1"/>
  <c r="AC16" i="1"/>
  <c r="Z16" i="1"/>
  <c r="AB16" i="1"/>
  <c r="Y16" i="1"/>
  <c r="V16" i="1"/>
  <c r="X16" i="1"/>
  <c r="U16" i="1"/>
  <c r="R16" i="1"/>
  <c r="T16" i="1"/>
  <c r="Q16" i="1"/>
  <c r="N16" i="1"/>
  <c r="P16" i="1"/>
  <c r="M16" i="1"/>
  <c r="J16" i="1"/>
  <c r="L16" i="1"/>
  <c r="I16" i="1"/>
  <c r="F16" i="1"/>
  <c r="H16" i="1"/>
  <c r="E16" i="1"/>
  <c r="B16" i="1"/>
  <c r="AY15" i="1"/>
  <c r="BA15" i="1"/>
  <c r="AW15" i="1"/>
  <c r="AT15" i="1"/>
  <c r="AS15" i="1"/>
  <c r="AP15" i="1"/>
  <c r="AO15" i="1"/>
  <c r="AL15" i="1"/>
  <c r="AK15" i="1"/>
  <c r="AH15" i="1"/>
  <c r="AG15" i="1"/>
  <c r="AD15" i="1"/>
  <c r="AC15" i="1"/>
  <c r="Z15" i="1"/>
  <c r="Y15" i="1"/>
  <c r="V15" i="1"/>
  <c r="U15" i="1"/>
  <c r="R15" i="1"/>
  <c r="Q15" i="1"/>
  <c r="N15" i="1"/>
  <c r="M15" i="1"/>
  <c r="J15" i="1"/>
  <c r="I15" i="1"/>
  <c r="F15" i="1"/>
  <c r="E15" i="1"/>
  <c r="B15" i="1"/>
  <c r="AX14" i="1"/>
  <c r="AU14" i="1"/>
  <c r="AQ14" i="1"/>
  <c r="AM14" i="1"/>
  <c r="AI14" i="1"/>
  <c r="AE14" i="1"/>
  <c r="AA14" i="1"/>
  <c r="W14" i="1"/>
  <c r="S14" i="1"/>
  <c r="O14" i="1"/>
  <c r="K14" i="1"/>
  <c r="G14" i="1"/>
  <c r="C14" i="1"/>
  <c r="AY10" i="1"/>
  <c r="BA10" i="1"/>
  <c r="AW10" i="1"/>
  <c r="AT10" i="1"/>
  <c r="AV10" i="1"/>
  <c r="AS10" i="1"/>
  <c r="AP10" i="1"/>
  <c r="AR10" i="1"/>
  <c r="AO10" i="1"/>
  <c r="AL10" i="1"/>
  <c r="AN10" i="1"/>
  <c r="AK10" i="1"/>
  <c r="AH10" i="1"/>
  <c r="AJ10" i="1"/>
  <c r="AG10" i="1"/>
  <c r="AD10" i="1"/>
  <c r="AF10" i="1"/>
  <c r="AC10" i="1"/>
  <c r="Z10" i="1"/>
  <c r="AB10" i="1"/>
  <c r="Y10" i="1"/>
  <c r="V10" i="1"/>
  <c r="X10" i="1"/>
  <c r="U10" i="1"/>
  <c r="R10" i="1"/>
  <c r="T10" i="1"/>
  <c r="Q10" i="1"/>
  <c r="N10" i="1"/>
  <c r="P10" i="1"/>
  <c r="M10" i="1"/>
  <c r="J10" i="1"/>
  <c r="L10" i="1"/>
  <c r="I10" i="1"/>
  <c r="F10" i="1"/>
  <c r="H10" i="1"/>
  <c r="E10" i="1"/>
  <c r="B10" i="1"/>
  <c r="AU9" i="1"/>
  <c r="AT9" i="1"/>
  <c r="AV9" i="1"/>
  <c r="AQ9" i="1"/>
  <c r="AP9" i="1"/>
  <c r="AR9" i="1"/>
  <c r="AM9" i="1"/>
  <c r="AL9" i="1"/>
  <c r="AN9" i="1"/>
  <c r="AI9" i="1"/>
  <c r="AH9" i="1"/>
  <c r="AJ9" i="1"/>
  <c r="AE9" i="1"/>
  <c r="AD9" i="1"/>
  <c r="AF9" i="1"/>
  <c r="AA9" i="1"/>
  <c r="Z9" i="1"/>
  <c r="AB9" i="1"/>
  <c r="W9" i="1"/>
  <c r="V9" i="1"/>
  <c r="X9" i="1"/>
  <c r="S9" i="1"/>
  <c r="R9" i="1"/>
  <c r="T9" i="1"/>
  <c r="O9" i="1"/>
  <c r="N9" i="1"/>
  <c r="P9" i="1"/>
  <c r="K9" i="1"/>
  <c r="J9" i="1"/>
  <c r="L9" i="1"/>
  <c r="G9" i="1"/>
  <c r="F9" i="1"/>
  <c r="H9" i="1"/>
  <c r="C9" i="1"/>
  <c r="B9" i="1"/>
  <c r="AU8" i="1"/>
  <c r="AT8" i="1"/>
  <c r="AQ8" i="1"/>
  <c r="AP8" i="1"/>
  <c r="AM8" i="1"/>
  <c r="AL8" i="1"/>
  <c r="AI8" i="1"/>
  <c r="AH8" i="1"/>
  <c r="AE8" i="1"/>
  <c r="AD8" i="1"/>
  <c r="AA8" i="1"/>
  <c r="Z8" i="1"/>
  <c r="W8" i="1"/>
  <c r="V8" i="1"/>
  <c r="S8" i="1"/>
  <c r="R8" i="1"/>
  <c r="O8" i="1"/>
  <c r="N8" i="1"/>
  <c r="K8" i="1"/>
  <c r="J8" i="1"/>
  <c r="G8" i="1"/>
  <c r="F8" i="1"/>
  <c r="C8" i="1"/>
  <c r="B8" i="1"/>
  <c r="B11" i="1"/>
  <c r="AX8" i="1"/>
  <c r="D8" i="1"/>
  <c r="C11" i="1"/>
  <c r="AY8" i="1"/>
  <c r="BA8" i="1"/>
  <c r="E8" i="1"/>
  <c r="F11" i="1"/>
  <c r="H8" i="1"/>
  <c r="G11" i="1"/>
  <c r="I8" i="1"/>
  <c r="J11" i="1"/>
  <c r="L8" i="1"/>
  <c r="K11" i="1"/>
  <c r="M8" i="1"/>
  <c r="N11" i="1"/>
  <c r="P8" i="1"/>
  <c r="O11" i="1"/>
  <c r="Q8" i="1"/>
  <c r="R11" i="1"/>
  <c r="T8" i="1"/>
  <c r="S11" i="1"/>
  <c r="U8" i="1"/>
  <c r="V11" i="1"/>
  <c r="X8" i="1"/>
  <c r="W11" i="1"/>
  <c r="Y8" i="1"/>
  <c r="Z11" i="1"/>
  <c r="AB8" i="1"/>
  <c r="AA11" i="1"/>
  <c r="AC8" i="1"/>
  <c r="AD11" i="1"/>
  <c r="AF8" i="1"/>
  <c r="AE11" i="1"/>
  <c r="AG8" i="1"/>
  <c r="AH11" i="1"/>
  <c r="AJ8" i="1"/>
  <c r="AI11" i="1"/>
  <c r="AK8" i="1"/>
  <c r="AL11" i="1"/>
  <c r="AN8" i="1"/>
  <c r="AM11" i="1"/>
  <c r="AO8" i="1"/>
  <c r="AP11" i="1"/>
  <c r="AR8" i="1"/>
  <c r="AQ11" i="1"/>
  <c r="AS8" i="1"/>
  <c r="AT11" i="1"/>
  <c r="AV8" i="1"/>
  <c r="AU11" i="1"/>
  <c r="AW8" i="1"/>
  <c r="AX9" i="1"/>
  <c r="D9" i="1"/>
  <c r="AY9" i="1"/>
  <c r="BA9" i="1"/>
  <c r="E9" i="1"/>
  <c r="I9" i="1"/>
  <c r="M9" i="1"/>
  <c r="Q9" i="1"/>
  <c r="U9" i="1"/>
  <c r="Y9" i="1"/>
  <c r="AC9" i="1"/>
  <c r="AG9" i="1"/>
  <c r="AK9" i="1"/>
  <c r="AO9" i="1"/>
  <c r="AS9" i="1"/>
  <c r="AW9" i="1"/>
  <c r="AX10" i="1"/>
  <c r="AZ10" i="1"/>
  <c r="D10" i="1"/>
  <c r="C18" i="1"/>
  <c r="AY14" i="1"/>
  <c r="BA14" i="1"/>
  <c r="E14" i="1"/>
  <c r="D14" i="1"/>
  <c r="G18" i="1"/>
  <c r="I14" i="1"/>
  <c r="H14" i="1"/>
  <c r="K18" i="1"/>
  <c r="M14" i="1"/>
  <c r="L14" i="1"/>
  <c r="O18" i="1"/>
  <c r="Q14" i="1"/>
  <c r="P14" i="1"/>
  <c r="S18" i="1"/>
  <c r="U14" i="1"/>
  <c r="T14" i="1"/>
  <c r="W18" i="1"/>
  <c r="Y14" i="1"/>
  <c r="X14" i="1"/>
  <c r="AA18" i="1"/>
  <c r="AC14" i="1"/>
  <c r="AB14" i="1"/>
  <c r="AE18" i="1"/>
  <c r="AG14" i="1"/>
  <c r="AF14" i="1"/>
  <c r="AI18" i="1"/>
  <c r="AK14" i="1"/>
  <c r="AJ14" i="1"/>
  <c r="AM18" i="1"/>
  <c r="AO14" i="1"/>
  <c r="AN14" i="1"/>
  <c r="AQ18" i="1"/>
  <c r="AS14" i="1"/>
  <c r="AR14" i="1"/>
  <c r="AU18" i="1"/>
  <c r="AW14" i="1"/>
  <c r="AV14" i="1"/>
  <c r="AZ14" i="1"/>
  <c r="B18" i="1"/>
  <c r="AX15" i="1"/>
  <c r="AZ15" i="1"/>
  <c r="D15" i="1"/>
  <c r="F18" i="1"/>
  <c r="H15" i="1"/>
  <c r="J18" i="1"/>
  <c r="L15" i="1"/>
  <c r="N18" i="1"/>
  <c r="P15" i="1"/>
  <c r="R18" i="1"/>
  <c r="T15" i="1"/>
  <c r="V18" i="1"/>
  <c r="X15" i="1"/>
  <c r="Z18" i="1"/>
  <c r="AB15" i="1"/>
  <c r="AD18" i="1"/>
  <c r="AF15" i="1"/>
  <c r="AH18" i="1"/>
  <c r="AJ15" i="1"/>
  <c r="AL18" i="1"/>
  <c r="AN15" i="1"/>
  <c r="AP18" i="1"/>
  <c r="AR15" i="1"/>
  <c r="AT18" i="1"/>
  <c r="AV15" i="1"/>
  <c r="AX16" i="1"/>
  <c r="AZ16" i="1"/>
  <c r="D16" i="1"/>
  <c r="AX17" i="1"/>
  <c r="AZ17" i="1"/>
  <c r="D17" i="1"/>
  <c r="C23" i="1"/>
  <c r="AY19" i="1"/>
  <c r="BA19" i="1"/>
  <c r="E19" i="1"/>
  <c r="D19" i="1"/>
  <c r="G23" i="1"/>
  <c r="I19" i="1"/>
  <c r="H19" i="1"/>
  <c r="K23" i="1"/>
  <c r="M19" i="1"/>
  <c r="L19" i="1"/>
  <c r="O23" i="1"/>
  <c r="Q19" i="1"/>
  <c r="P19" i="1"/>
  <c r="S23" i="1"/>
  <c r="U19" i="1"/>
  <c r="T19" i="1"/>
  <c r="W23" i="1"/>
  <c r="Y19" i="1"/>
  <c r="X19" i="1"/>
  <c r="AA23" i="1"/>
  <c r="AC19" i="1"/>
  <c r="AB19" i="1"/>
  <c r="AE23" i="1"/>
  <c r="AG19" i="1"/>
  <c r="AF19" i="1"/>
  <c r="AI23" i="1"/>
  <c r="AK19" i="1"/>
  <c r="AJ19" i="1"/>
  <c r="AM23" i="1"/>
  <c r="AO19" i="1"/>
  <c r="AN19" i="1"/>
  <c r="AQ23" i="1"/>
  <c r="AS19" i="1"/>
  <c r="AR19" i="1"/>
  <c r="AU23" i="1"/>
  <c r="AW19" i="1"/>
  <c r="AV19" i="1"/>
  <c r="AZ19" i="1"/>
  <c r="B23" i="1"/>
  <c r="AX20" i="1"/>
  <c r="AZ20" i="1"/>
  <c r="D20" i="1"/>
  <c r="F23" i="1"/>
  <c r="H23" i="1"/>
  <c r="H20" i="1"/>
  <c r="J23" i="1"/>
  <c r="L23" i="1"/>
  <c r="L20" i="1"/>
  <c r="N23" i="1"/>
  <c r="P23" i="1"/>
  <c r="P20" i="1"/>
  <c r="R23" i="1"/>
  <c r="T23" i="1"/>
  <c r="T20" i="1"/>
  <c r="V23" i="1"/>
  <c r="X23" i="1"/>
  <c r="X20" i="1"/>
  <c r="Z23" i="1"/>
  <c r="AB23" i="1"/>
  <c r="AB20" i="1"/>
  <c r="AD23" i="1"/>
  <c r="AF23" i="1"/>
  <c r="AF20" i="1"/>
  <c r="AH23" i="1"/>
  <c r="AJ23" i="1"/>
  <c r="AJ20" i="1"/>
  <c r="AL23" i="1"/>
  <c r="AN23" i="1"/>
  <c r="AN20" i="1"/>
  <c r="AP23" i="1"/>
  <c r="AR23" i="1"/>
  <c r="AR20" i="1"/>
  <c r="AT23" i="1"/>
  <c r="AV23" i="1"/>
  <c r="AV20" i="1"/>
  <c r="AX21" i="1"/>
  <c r="AZ21" i="1"/>
  <c r="D21" i="1"/>
  <c r="AX22" i="1"/>
  <c r="AZ22" i="1"/>
  <c r="D22" i="1"/>
  <c r="C28" i="1"/>
  <c r="AY24" i="1"/>
  <c r="BA24" i="1"/>
  <c r="E24" i="1"/>
  <c r="D24" i="1"/>
  <c r="G28" i="1"/>
  <c r="I24" i="1"/>
  <c r="H24" i="1"/>
  <c r="K28" i="1"/>
  <c r="M24" i="1"/>
  <c r="L24" i="1"/>
  <c r="O28" i="1"/>
  <c r="Q24" i="1"/>
  <c r="P24" i="1"/>
  <c r="S28" i="1"/>
  <c r="U24" i="1"/>
  <c r="T24" i="1"/>
  <c r="W28" i="1"/>
  <c r="Y24" i="1"/>
  <c r="X24" i="1"/>
  <c r="AA28" i="1"/>
  <c r="AC24" i="1"/>
  <c r="AB24" i="1"/>
  <c r="AE28" i="1"/>
  <c r="AG24" i="1"/>
  <c r="AF24" i="1"/>
  <c r="AI28" i="1"/>
  <c r="AK24" i="1"/>
  <c r="AJ24" i="1"/>
  <c r="AM28" i="1"/>
  <c r="AO24" i="1"/>
  <c r="AN24" i="1"/>
  <c r="AQ28" i="1"/>
  <c r="AS24" i="1"/>
  <c r="AR24" i="1"/>
  <c r="AU28" i="1"/>
  <c r="AW24" i="1"/>
  <c r="AV24" i="1"/>
  <c r="AZ24" i="1"/>
  <c r="B28" i="1"/>
  <c r="AX25" i="1"/>
  <c r="AZ25" i="1"/>
  <c r="D25" i="1"/>
  <c r="F28" i="1"/>
  <c r="H28" i="1"/>
  <c r="H25" i="1"/>
  <c r="J28" i="1"/>
  <c r="L28" i="1"/>
  <c r="L25" i="1"/>
  <c r="N28" i="1"/>
  <c r="P28" i="1"/>
  <c r="P25" i="1"/>
  <c r="R28" i="1"/>
  <c r="T28" i="1"/>
  <c r="T25" i="1"/>
  <c r="V28" i="1"/>
  <c r="X28" i="1"/>
  <c r="X25" i="1"/>
  <c r="Z28" i="1"/>
  <c r="AB28" i="1"/>
  <c r="AB25" i="1"/>
  <c r="AD28" i="1"/>
  <c r="AF28" i="1"/>
  <c r="AF25" i="1"/>
  <c r="AH28" i="1"/>
  <c r="AJ28" i="1"/>
  <c r="AJ25" i="1"/>
  <c r="AL28" i="1"/>
  <c r="AN28" i="1"/>
  <c r="AN25" i="1"/>
  <c r="AP28" i="1"/>
  <c r="AR28" i="1"/>
  <c r="AR25" i="1"/>
  <c r="AT28" i="1"/>
  <c r="AV28" i="1"/>
  <c r="AV25" i="1"/>
  <c r="AX26" i="1"/>
  <c r="AZ26" i="1"/>
  <c r="D26" i="1"/>
  <c r="AX27" i="1"/>
  <c r="AZ27" i="1"/>
  <c r="D27" i="1"/>
  <c r="C33" i="1"/>
  <c r="AY29" i="1"/>
  <c r="BA29" i="1"/>
  <c r="E29" i="1"/>
  <c r="D29" i="1"/>
  <c r="G33" i="1"/>
  <c r="I29" i="1"/>
  <c r="H29" i="1"/>
  <c r="K33" i="1"/>
  <c r="M33" i="1"/>
  <c r="M29" i="1"/>
  <c r="L29" i="1"/>
  <c r="O33" i="1"/>
  <c r="Q29" i="1"/>
  <c r="P29" i="1"/>
  <c r="S33" i="1"/>
  <c r="U29" i="1"/>
  <c r="T29" i="1"/>
  <c r="W33" i="1"/>
  <c r="Y29" i="1"/>
  <c r="X29" i="1"/>
  <c r="AA33" i="1"/>
  <c r="AC29" i="1"/>
  <c r="AB29" i="1"/>
  <c r="AE33" i="1"/>
  <c r="AG29" i="1"/>
  <c r="AF29" i="1"/>
  <c r="AI33" i="1"/>
  <c r="AK29" i="1"/>
  <c r="AJ29" i="1"/>
  <c r="AM33" i="1"/>
  <c r="AO29" i="1"/>
  <c r="AN29" i="1"/>
  <c r="AQ33" i="1"/>
  <c r="AS29" i="1"/>
  <c r="AR29" i="1"/>
  <c r="AU33" i="1"/>
  <c r="AW29" i="1"/>
  <c r="AV29" i="1"/>
  <c r="AZ29" i="1"/>
  <c r="F33" i="1"/>
  <c r="H33" i="1"/>
  <c r="AX30" i="1"/>
  <c r="AZ30" i="1"/>
  <c r="H30" i="1"/>
  <c r="N33" i="1"/>
  <c r="P33" i="1"/>
  <c r="P30" i="1"/>
  <c r="R33" i="1"/>
  <c r="T33" i="1"/>
  <c r="T30" i="1"/>
  <c r="AH33" i="1"/>
  <c r="AJ33" i="1"/>
  <c r="AJ30" i="1"/>
  <c r="AX31" i="1"/>
  <c r="AZ31" i="1"/>
  <c r="H31" i="1"/>
  <c r="AX32" i="1"/>
  <c r="AZ32" i="1"/>
  <c r="H32" i="1"/>
  <c r="V33" i="1"/>
  <c r="X33" i="1"/>
  <c r="X32" i="1"/>
  <c r="Z33" i="1"/>
  <c r="AB33" i="1"/>
  <c r="AB32" i="1"/>
  <c r="AD33" i="1"/>
  <c r="AF33" i="1"/>
  <c r="AF32" i="1"/>
  <c r="AL33" i="1"/>
  <c r="AN33" i="1"/>
  <c r="AN32" i="1"/>
  <c r="AP33" i="1"/>
  <c r="AR33" i="1"/>
  <c r="AR32" i="1"/>
  <c r="AT33" i="1"/>
  <c r="AV33" i="1"/>
  <c r="AV32" i="1"/>
  <c r="AX33" i="1"/>
  <c r="D33" i="1"/>
  <c r="L33" i="1"/>
  <c r="C38" i="1"/>
  <c r="AY34" i="1"/>
  <c r="BA34" i="1"/>
  <c r="E34" i="1"/>
  <c r="D34" i="1"/>
  <c r="G38" i="1"/>
  <c r="I34" i="1"/>
  <c r="H34" i="1"/>
  <c r="K38" i="1"/>
  <c r="M34" i="1"/>
  <c r="L34" i="1"/>
  <c r="O38" i="1"/>
  <c r="Q34" i="1"/>
  <c r="P34" i="1"/>
  <c r="S38" i="1"/>
  <c r="U34" i="1"/>
  <c r="T34" i="1"/>
  <c r="W38" i="1"/>
  <c r="Y34" i="1"/>
  <c r="X34" i="1"/>
  <c r="AA38" i="1"/>
  <c r="AC34" i="1"/>
  <c r="AB34" i="1"/>
  <c r="AE38" i="1"/>
  <c r="AG34" i="1"/>
  <c r="AF34" i="1"/>
  <c r="AI38" i="1"/>
  <c r="AK34" i="1"/>
  <c r="AJ34" i="1"/>
  <c r="AM38" i="1"/>
  <c r="AO34" i="1"/>
  <c r="AN34" i="1"/>
  <c r="AQ38" i="1"/>
  <c r="AS34" i="1"/>
  <c r="AR34" i="1"/>
  <c r="AU38" i="1"/>
  <c r="AW34" i="1"/>
  <c r="AV34" i="1"/>
  <c r="AZ34" i="1"/>
  <c r="B38" i="1"/>
  <c r="AX35" i="1"/>
  <c r="AZ35" i="1"/>
  <c r="D35" i="1"/>
  <c r="F38" i="1"/>
  <c r="H38" i="1"/>
  <c r="H35" i="1"/>
  <c r="J38" i="1"/>
  <c r="L38" i="1"/>
  <c r="L35" i="1"/>
  <c r="N38" i="1"/>
  <c r="P38" i="1"/>
  <c r="P35" i="1"/>
  <c r="R38" i="1"/>
  <c r="T38" i="1"/>
  <c r="T35" i="1"/>
  <c r="V38" i="1"/>
  <c r="X38" i="1"/>
  <c r="X35" i="1"/>
  <c r="Z38" i="1"/>
  <c r="AB38" i="1"/>
  <c r="AB35" i="1"/>
  <c r="AD38" i="1"/>
  <c r="AF38" i="1"/>
  <c r="AF35" i="1"/>
  <c r="AH38" i="1"/>
  <c r="AJ38" i="1"/>
  <c r="AJ35" i="1"/>
  <c r="AL38" i="1"/>
  <c r="AN38" i="1"/>
  <c r="AN35" i="1"/>
  <c r="AP38" i="1"/>
  <c r="AR38" i="1"/>
  <c r="AR35" i="1"/>
  <c r="AT38" i="1"/>
  <c r="AV38" i="1"/>
  <c r="AV35" i="1"/>
  <c r="AX36" i="1"/>
  <c r="AZ36" i="1"/>
  <c r="D36" i="1"/>
  <c r="AX37" i="1"/>
  <c r="AZ37" i="1"/>
  <c r="D37" i="1"/>
  <c r="C43" i="1"/>
  <c r="AY39" i="1"/>
  <c r="BA39" i="1"/>
  <c r="E39" i="1"/>
  <c r="D39" i="1"/>
  <c r="G43" i="1"/>
  <c r="I39" i="1"/>
  <c r="H39" i="1"/>
  <c r="K43" i="1"/>
  <c r="M39" i="1"/>
  <c r="L39" i="1"/>
  <c r="O43" i="1"/>
  <c r="Q39" i="1"/>
  <c r="P39" i="1"/>
  <c r="S43" i="1"/>
  <c r="U39" i="1"/>
  <c r="T39" i="1"/>
  <c r="W43" i="1"/>
  <c r="Y39" i="1"/>
  <c r="X39" i="1"/>
  <c r="AA43" i="1"/>
  <c r="AC39" i="1"/>
  <c r="AB39" i="1"/>
  <c r="AE43" i="1"/>
  <c r="AG39" i="1"/>
  <c r="AF39" i="1"/>
  <c r="AI43" i="1"/>
  <c r="AK39" i="1"/>
  <c r="AJ39" i="1"/>
  <c r="AM43" i="1"/>
  <c r="AO39" i="1"/>
  <c r="AN39" i="1"/>
  <c r="AQ43" i="1"/>
  <c r="AS39" i="1"/>
  <c r="AR39" i="1"/>
  <c r="AU43" i="1"/>
  <c r="AW39" i="1"/>
  <c r="AV39" i="1"/>
  <c r="AZ39" i="1"/>
  <c r="B43" i="1"/>
  <c r="AX40" i="1"/>
  <c r="AZ40" i="1"/>
  <c r="D40" i="1"/>
  <c r="F43" i="1"/>
  <c r="H43" i="1"/>
  <c r="H40" i="1"/>
  <c r="J43" i="1"/>
  <c r="L43" i="1"/>
  <c r="L40" i="1"/>
  <c r="N43" i="1"/>
  <c r="P43" i="1"/>
  <c r="P40" i="1"/>
  <c r="R43" i="1"/>
  <c r="T43" i="1"/>
  <c r="T40" i="1"/>
  <c r="V43" i="1"/>
  <c r="X43" i="1"/>
  <c r="X40" i="1"/>
  <c r="Z43" i="1"/>
  <c r="AB43" i="1"/>
  <c r="AB40" i="1"/>
  <c r="AD43" i="1"/>
  <c r="AF43" i="1"/>
  <c r="AF40" i="1"/>
  <c r="AH43" i="1"/>
  <c r="AJ43" i="1"/>
  <c r="AJ40" i="1"/>
  <c r="AL43" i="1"/>
  <c r="AN43" i="1"/>
  <c r="AN40" i="1"/>
  <c r="AP43" i="1"/>
  <c r="AR43" i="1"/>
  <c r="AR40" i="1"/>
  <c r="AT43" i="1"/>
  <c r="AV43" i="1"/>
  <c r="AV40" i="1"/>
  <c r="AX41" i="1"/>
  <c r="AZ41" i="1"/>
  <c r="D41" i="1"/>
  <c r="AX42" i="1"/>
  <c r="AZ42" i="1"/>
  <c r="D42" i="1"/>
  <c r="C48" i="1"/>
  <c r="AY44" i="1"/>
  <c r="BA44" i="1"/>
  <c r="E44" i="1"/>
  <c r="D44" i="1"/>
  <c r="G48" i="1"/>
  <c r="I44" i="1"/>
  <c r="H44" i="1"/>
  <c r="K48" i="1"/>
  <c r="M44" i="1"/>
  <c r="L44" i="1"/>
  <c r="O48" i="1"/>
  <c r="Q44" i="1"/>
  <c r="P44" i="1"/>
  <c r="S48" i="1"/>
  <c r="U44" i="1"/>
  <c r="T44" i="1"/>
  <c r="W48" i="1"/>
  <c r="Y44" i="1"/>
  <c r="X44" i="1"/>
  <c r="AA48" i="1"/>
  <c r="AC44" i="1"/>
  <c r="AB44" i="1"/>
  <c r="AE48" i="1"/>
  <c r="AG44" i="1"/>
  <c r="AF44" i="1"/>
  <c r="AI48" i="1"/>
  <c r="AK44" i="1"/>
  <c r="AJ44" i="1"/>
  <c r="AM48" i="1"/>
  <c r="AO44" i="1"/>
  <c r="AN44" i="1"/>
  <c r="AQ48" i="1"/>
  <c r="AS44" i="1"/>
  <c r="AR44" i="1"/>
  <c r="AU48" i="1"/>
  <c r="AW44" i="1"/>
  <c r="AV44" i="1"/>
  <c r="AZ44" i="1"/>
  <c r="F48" i="1"/>
  <c r="H48" i="1"/>
  <c r="AX45" i="1"/>
  <c r="AZ45" i="1"/>
  <c r="H45" i="1"/>
  <c r="J48" i="1"/>
  <c r="L48" i="1"/>
  <c r="L45" i="1"/>
  <c r="N48" i="1"/>
  <c r="P48" i="1"/>
  <c r="P45" i="1"/>
  <c r="R48" i="1"/>
  <c r="T48" i="1"/>
  <c r="T45" i="1"/>
  <c r="V48" i="1"/>
  <c r="X48" i="1"/>
  <c r="X45" i="1"/>
  <c r="Z48" i="1"/>
  <c r="AB48" i="1"/>
  <c r="AB45" i="1"/>
  <c r="AD48" i="1"/>
  <c r="AF48" i="1"/>
  <c r="AF45" i="1"/>
  <c r="AH48" i="1"/>
  <c r="AJ48" i="1"/>
  <c r="AJ45" i="1"/>
  <c r="AL48" i="1"/>
  <c r="AN48" i="1"/>
  <c r="AN45" i="1"/>
  <c r="AP48" i="1"/>
  <c r="AR48" i="1"/>
  <c r="AR45" i="1"/>
  <c r="AT48" i="1"/>
  <c r="AV48" i="1"/>
  <c r="AV45" i="1"/>
  <c r="AX46" i="1"/>
  <c r="AZ46" i="1"/>
  <c r="H46" i="1"/>
  <c r="AX47" i="1"/>
  <c r="AZ47" i="1"/>
  <c r="H47" i="1"/>
  <c r="AX48" i="1"/>
  <c r="D48" i="1"/>
  <c r="C53" i="1"/>
  <c r="AY49" i="1"/>
  <c r="BA49" i="1"/>
  <c r="E49" i="1"/>
  <c r="D49" i="1"/>
  <c r="G53" i="1"/>
  <c r="I49" i="1"/>
  <c r="H49" i="1"/>
  <c r="K53" i="1"/>
  <c r="M49" i="1"/>
  <c r="L49" i="1"/>
  <c r="O53" i="1"/>
  <c r="Q49" i="1"/>
  <c r="P49" i="1"/>
  <c r="S53" i="1"/>
  <c r="U49" i="1"/>
  <c r="T49" i="1"/>
  <c r="W53" i="1"/>
  <c r="Y49" i="1"/>
  <c r="X49" i="1"/>
  <c r="AA53" i="1"/>
  <c r="AC49" i="1"/>
  <c r="AB49" i="1"/>
  <c r="AE53" i="1"/>
  <c r="AG49" i="1"/>
  <c r="AF49" i="1"/>
  <c r="AI53" i="1"/>
  <c r="AK49" i="1"/>
  <c r="AJ49" i="1"/>
  <c r="AM53" i="1"/>
  <c r="AO49" i="1"/>
  <c r="AN49" i="1"/>
  <c r="AQ53" i="1"/>
  <c r="AS49" i="1"/>
  <c r="AR49" i="1"/>
  <c r="AU53" i="1"/>
  <c r="AW49" i="1"/>
  <c r="AV49" i="1"/>
  <c r="AZ49" i="1"/>
  <c r="B53" i="1"/>
  <c r="AX50" i="1"/>
  <c r="AZ50" i="1"/>
  <c r="D50" i="1"/>
  <c r="F53" i="1"/>
  <c r="H53" i="1"/>
  <c r="H50" i="1"/>
  <c r="J53" i="1"/>
  <c r="L53" i="1"/>
  <c r="L50" i="1"/>
  <c r="N53" i="1"/>
  <c r="P53" i="1"/>
  <c r="P50" i="1"/>
  <c r="R53" i="1"/>
  <c r="T53" i="1"/>
  <c r="T50" i="1"/>
  <c r="V53" i="1"/>
  <c r="X53" i="1"/>
  <c r="X50" i="1"/>
  <c r="Z53" i="1"/>
  <c r="AB53" i="1"/>
  <c r="AB50" i="1"/>
  <c r="AD53" i="1"/>
  <c r="AF53" i="1"/>
  <c r="AF50" i="1"/>
  <c r="AH53" i="1"/>
  <c r="AJ53" i="1"/>
  <c r="AJ50" i="1"/>
  <c r="AL53" i="1"/>
  <c r="AN53" i="1"/>
  <c r="AN50" i="1"/>
  <c r="AP53" i="1"/>
  <c r="AR53" i="1"/>
  <c r="AR50" i="1"/>
  <c r="AT53" i="1"/>
  <c r="AV53" i="1"/>
  <c r="AV50" i="1"/>
  <c r="AX51" i="1"/>
  <c r="AZ51" i="1"/>
  <c r="D51" i="1"/>
  <c r="AX52" i="1"/>
  <c r="AZ52" i="1"/>
  <c r="D52" i="1"/>
  <c r="AT58" i="1"/>
  <c r="AV58" i="1"/>
  <c r="AX55" i="1"/>
  <c r="AZ55" i="1"/>
  <c r="AV55" i="1"/>
  <c r="AX56" i="1"/>
  <c r="AZ56" i="1"/>
  <c r="AV56" i="1"/>
  <c r="AX57" i="1"/>
  <c r="AZ57" i="1"/>
  <c r="AV57" i="1"/>
  <c r="AX58" i="1"/>
  <c r="D58" i="1"/>
  <c r="AY58" i="1"/>
  <c r="BA58" i="1"/>
  <c r="E58" i="1"/>
  <c r="C63" i="1"/>
  <c r="AY59" i="1"/>
  <c r="BA59" i="1"/>
  <c r="E59" i="1"/>
  <c r="D59" i="1"/>
  <c r="G63" i="1"/>
  <c r="I59" i="1"/>
  <c r="H59" i="1"/>
  <c r="K63" i="1"/>
  <c r="M59" i="1"/>
  <c r="L59" i="1"/>
  <c r="O63" i="1"/>
  <c r="Q59" i="1"/>
  <c r="P59" i="1"/>
  <c r="S63" i="1"/>
  <c r="U59" i="1"/>
  <c r="T59" i="1"/>
  <c r="W63" i="1"/>
  <c r="Y59" i="1"/>
  <c r="X59" i="1"/>
  <c r="AA63" i="1"/>
  <c r="AC59" i="1"/>
  <c r="AB59" i="1"/>
  <c r="AE63" i="1"/>
  <c r="AG59" i="1"/>
  <c r="AF59" i="1"/>
  <c r="AI63" i="1"/>
  <c r="AK59" i="1"/>
  <c r="AJ59" i="1"/>
  <c r="AM63" i="1"/>
  <c r="AO59" i="1"/>
  <c r="AN59" i="1"/>
  <c r="AQ63" i="1"/>
  <c r="AS59" i="1"/>
  <c r="AR59" i="1"/>
  <c r="AU63" i="1"/>
  <c r="AW59" i="1"/>
  <c r="AV59" i="1"/>
  <c r="AZ59" i="1"/>
  <c r="B63" i="1"/>
  <c r="AX60" i="1"/>
  <c r="AZ60" i="1"/>
  <c r="D60" i="1"/>
  <c r="F63" i="1"/>
  <c r="H63" i="1"/>
  <c r="H60" i="1"/>
  <c r="J63" i="1"/>
  <c r="L63" i="1"/>
  <c r="L60" i="1"/>
  <c r="N63" i="1"/>
  <c r="P63" i="1"/>
  <c r="P60" i="1"/>
  <c r="R63" i="1"/>
  <c r="T63" i="1"/>
  <c r="T60" i="1"/>
  <c r="V63" i="1"/>
  <c r="X63" i="1"/>
  <c r="X60" i="1"/>
  <c r="Z63" i="1"/>
  <c r="AB63" i="1"/>
  <c r="AB60" i="1"/>
  <c r="AD63" i="1"/>
  <c r="AF63" i="1"/>
  <c r="AF60" i="1"/>
  <c r="AH63" i="1"/>
  <c r="AJ63" i="1"/>
  <c r="AJ60" i="1"/>
  <c r="AL63" i="1"/>
  <c r="AN63" i="1"/>
  <c r="AN60" i="1"/>
  <c r="AP63" i="1"/>
  <c r="AR63" i="1"/>
  <c r="AR60" i="1"/>
  <c r="AT63" i="1"/>
  <c r="AV63" i="1"/>
  <c r="AV60" i="1"/>
  <c r="AX61" i="1"/>
  <c r="AZ61" i="1"/>
  <c r="D61" i="1"/>
  <c r="AX62" i="1"/>
  <c r="AZ62" i="1"/>
  <c r="D62" i="1"/>
  <c r="C68" i="1"/>
  <c r="AY64" i="1"/>
  <c r="BA64" i="1"/>
  <c r="E64" i="1"/>
  <c r="D64" i="1"/>
  <c r="G68" i="1"/>
  <c r="I64" i="1"/>
  <c r="H64" i="1"/>
  <c r="K68" i="1"/>
  <c r="M64" i="1"/>
  <c r="L64" i="1"/>
  <c r="O68" i="1"/>
  <c r="Q64" i="1"/>
  <c r="P64" i="1"/>
  <c r="S68" i="1"/>
  <c r="U64" i="1"/>
  <c r="T64" i="1"/>
  <c r="W68" i="1"/>
  <c r="Y64" i="1"/>
  <c r="X64" i="1"/>
  <c r="AA68" i="1"/>
  <c r="AC64" i="1"/>
  <c r="AB64" i="1"/>
  <c r="AE68" i="1"/>
  <c r="AG64" i="1"/>
  <c r="AF64" i="1"/>
  <c r="AI68" i="1"/>
  <c r="AK64" i="1"/>
  <c r="AJ64" i="1"/>
  <c r="AM68" i="1"/>
  <c r="AO64" i="1"/>
  <c r="AN64" i="1"/>
  <c r="AQ68" i="1"/>
  <c r="AS64" i="1"/>
  <c r="AR64" i="1"/>
  <c r="AU68" i="1"/>
  <c r="AW64" i="1"/>
  <c r="AV64" i="1"/>
  <c r="AZ64" i="1"/>
  <c r="B68" i="1"/>
  <c r="AX65" i="1"/>
  <c r="AZ65" i="1"/>
  <c r="D65" i="1"/>
  <c r="F68" i="1"/>
  <c r="H68" i="1"/>
  <c r="H65" i="1"/>
  <c r="J68" i="1"/>
  <c r="L68" i="1"/>
  <c r="L65" i="1"/>
  <c r="N68" i="1"/>
  <c r="P68" i="1"/>
  <c r="P65" i="1"/>
  <c r="R68" i="1"/>
  <c r="T68" i="1"/>
  <c r="T65" i="1"/>
  <c r="V68" i="1"/>
  <c r="X68" i="1"/>
  <c r="X65" i="1"/>
  <c r="Z68" i="1"/>
  <c r="AB68" i="1"/>
  <c r="AB65" i="1"/>
  <c r="AD68" i="1"/>
  <c r="AF68" i="1"/>
  <c r="AF65" i="1"/>
  <c r="AH68" i="1"/>
  <c r="AJ68" i="1"/>
  <c r="AJ65" i="1"/>
  <c r="AL68" i="1"/>
  <c r="AN68" i="1"/>
  <c r="AN65" i="1"/>
  <c r="AP68" i="1"/>
  <c r="AR68" i="1"/>
  <c r="AR65" i="1"/>
  <c r="AT68" i="1"/>
  <c r="AV68" i="1"/>
  <c r="AV65" i="1"/>
  <c r="AX66" i="1"/>
  <c r="AZ66" i="1"/>
  <c r="D66" i="1"/>
  <c r="AX67" i="1"/>
  <c r="AZ67" i="1"/>
  <c r="D67" i="1"/>
  <c r="C73" i="1"/>
  <c r="AY69" i="1"/>
  <c r="BA69" i="1"/>
  <c r="E69" i="1"/>
  <c r="D69" i="1"/>
  <c r="G73" i="1"/>
  <c r="I69" i="1"/>
  <c r="H69" i="1"/>
  <c r="K73" i="1"/>
  <c r="M69" i="1"/>
  <c r="L69" i="1"/>
  <c r="O73" i="1"/>
  <c r="Q69" i="1"/>
  <c r="P69" i="1"/>
  <c r="S73" i="1"/>
  <c r="U69" i="1"/>
  <c r="T69" i="1"/>
  <c r="W73" i="1"/>
  <c r="Y69" i="1"/>
  <c r="X69" i="1"/>
  <c r="AA73" i="1"/>
  <c r="AC69" i="1"/>
  <c r="AB69" i="1"/>
  <c r="AE73" i="1"/>
  <c r="AG69" i="1"/>
  <c r="AF69" i="1"/>
  <c r="AI73" i="1"/>
  <c r="AK69" i="1"/>
  <c r="AJ69" i="1"/>
  <c r="AM73" i="1"/>
  <c r="AO69" i="1"/>
  <c r="AN69" i="1"/>
  <c r="AQ73" i="1"/>
  <c r="AS69" i="1"/>
  <c r="AR69" i="1"/>
  <c r="AU73" i="1"/>
  <c r="AW69" i="1"/>
  <c r="AV69" i="1"/>
  <c r="AZ69" i="1"/>
  <c r="B73" i="1"/>
  <c r="AX70" i="1"/>
  <c r="AZ70" i="1"/>
  <c r="D70" i="1"/>
  <c r="F73" i="1"/>
  <c r="H73" i="1"/>
  <c r="H70" i="1"/>
  <c r="J73" i="1"/>
  <c r="L73" i="1"/>
  <c r="L70" i="1"/>
  <c r="N73" i="1"/>
  <c r="P73" i="1"/>
  <c r="P70" i="1"/>
  <c r="R73" i="1"/>
  <c r="T73" i="1"/>
  <c r="T70" i="1"/>
  <c r="V73" i="1"/>
  <c r="X73" i="1"/>
  <c r="X70" i="1"/>
  <c r="Z73" i="1"/>
  <c r="AB73" i="1"/>
  <c r="AB70" i="1"/>
  <c r="AD73" i="1"/>
  <c r="AF73" i="1"/>
  <c r="AF70" i="1"/>
  <c r="AH73" i="1"/>
  <c r="AJ73" i="1"/>
  <c r="AJ70" i="1"/>
  <c r="AL73" i="1"/>
  <c r="AN73" i="1"/>
  <c r="AN70" i="1"/>
  <c r="AP73" i="1"/>
  <c r="AR73" i="1"/>
  <c r="AR70" i="1"/>
  <c r="AT73" i="1"/>
  <c r="AV73" i="1"/>
  <c r="AV70" i="1"/>
  <c r="AX71" i="1"/>
  <c r="AZ71" i="1"/>
  <c r="D71" i="1"/>
  <c r="AX72" i="1"/>
  <c r="AZ72" i="1"/>
  <c r="D72" i="1"/>
  <c r="C78" i="1"/>
  <c r="AY74" i="1"/>
  <c r="BA74" i="1"/>
  <c r="E74" i="1"/>
  <c r="D74" i="1"/>
  <c r="G78" i="1"/>
  <c r="I78" i="1"/>
  <c r="I74" i="1"/>
  <c r="H74" i="1"/>
  <c r="K78" i="1"/>
  <c r="M78" i="1"/>
  <c r="M74" i="1"/>
  <c r="L74" i="1"/>
  <c r="O78" i="1"/>
  <c r="Q74" i="1"/>
  <c r="P74" i="1"/>
  <c r="S78" i="1"/>
  <c r="U74" i="1"/>
  <c r="T74" i="1"/>
  <c r="W78" i="1"/>
  <c r="Y74" i="1"/>
  <c r="X74" i="1"/>
  <c r="AA78" i="1"/>
  <c r="AC78" i="1"/>
  <c r="AC74" i="1"/>
  <c r="AB74" i="1"/>
  <c r="AE78" i="1"/>
  <c r="AG78" i="1"/>
  <c r="AG74" i="1"/>
  <c r="AF74" i="1"/>
  <c r="AI78" i="1"/>
  <c r="AK78" i="1"/>
  <c r="AK74" i="1"/>
  <c r="AJ74" i="1"/>
  <c r="AM78" i="1"/>
  <c r="AO78" i="1"/>
  <c r="AO74" i="1"/>
  <c r="AN74" i="1"/>
  <c r="AQ78" i="1"/>
  <c r="AS78" i="1"/>
  <c r="AS74" i="1"/>
  <c r="AR74" i="1"/>
  <c r="AU78" i="1"/>
  <c r="AW78" i="1"/>
  <c r="AW74" i="1"/>
  <c r="AV74" i="1"/>
  <c r="AZ74" i="1"/>
  <c r="N78" i="1"/>
  <c r="P78" i="1"/>
  <c r="AX75" i="1"/>
  <c r="AZ75" i="1"/>
  <c r="P75" i="1"/>
  <c r="R78" i="1"/>
  <c r="T78" i="1"/>
  <c r="T75" i="1"/>
  <c r="V78" i="1"/>
  <c r="X78" i="1"/>
  <c r="X75" i="1"/>
  <c r="AX76" i="1"/>
  <c r="AZ76" i="1"/>
  <c r="P76" i="1"/>
  <c r="AX77" i="1"/>
  <c r="AZ77" i="1"/>
  <c r="P77" i="1"/>
  <c r="AX78" i="1"/>
  <c r="D78" i="1"/>
  <c r="H78" i="1"/>
  <c r="L78" i="1"/>
  <c r="AB78" i="1"/>
  <c r="AF78" i="1"/>
  <c r="AJ78" i="1"/>
  <c r="AN78" i="1"/>
  <c r="AR78" i="1"/>
  <c r="AV78" i="1"/>
  <c r="C83" i="1"/>
  <c r="AY79" i="1"/>
  <c r="BA79" i="1"/>
  <c r="E79" i="1"/>
  <c r="D79" i="1"/>
  <c r="G83" i="1"/>
  <c r="I79" i="1"/>
  <c r="H79" i="1"/>
  <c r="K83" i="1"/>
  <c r="M79" i="1"/>
  <c r="L79" i="1"/>
  <c r="O83" i="1"/>
  <c r="Q79" i="1"/>
  <c r="P79" i="1"/>
  <c r="S83" i="1"/>
  <c r="U79" i="1"/>
  <c r="T79" i="1"/>
  <c r="W83" i="1"/>
  <c r="Y79" i="1"/>
  <c r="X79" i="1"/>
  <c r="AA83" i="1"/>
  <c r="AC79" i="1"/>
  <c r="AB79" i="1"/>
  <c r="AE83" i="1"/>
  <c r="AG79" i="1"/>
  <c r="AF79" i="1"/>
  <c r="AI83" i="1"/>
  <c r="AK79" i="1"/>
  <c r="AJ79" i="1"/>
  <c r="AM83" i="1"/>
  <c r="AO79" i="1"/>
  <c r="AN79" i="1"/>
  <c r="AQ83" i="1"/>
  <c r="AS79" i="1"/>
  <c r="AR79" i="1"/>
  <c r="AU83" i="1"/>
  <c r="AW79" i="1"/>
  <c r="AV79" i="1"/>
  <c r="AZ79" i="1"/>
  <c r="B83" i="1"/>
  <c r="AX80" i="1"/>
  <c r="AZ80" i="1"/>
  <c r="D80" i="1"/>
  <c r="F83" i="1"/>
  <c r="H83" i="1"/>
  <c r="H80" i="1"/>
  <c r="J83" i="1"/>
  <c r="L83" i="1"/>
  <c r="L80" i="1"/>
  <c r="N83" i="1"/>
  <c r="P83" i="1"/>
  <c r="P80" i="1"/>
  <c r="R83" i="1"/>
  <c r="T83" i="1"/>
  <c r="T80" i="1"/>
  <c r="V83" i="1"/>
  <c r="X83" i="1"/>
  <c r="X80" i="1"/>
  <c r="Z83" i="1"/>
  <c r="AB83" i="1"/>
  <c r="AB80" i="1"/>
  <c r="AD83" i="1"/>
  <c r="AF83" i="1"/>
  <c r="AF80" i="1"/>
  <c r="AH83" i="1"/>
  <c r="AJ83" i="1"/>
  <c r="AJ80" i="1"/>
  <c r="AL83" i="1"/>
  <c r="AN83" i="1"/>
  <c r="AN80" i="1"/>
  <c r="AP83" i="1"/>
  <c r="AR83" i="1"/>
  <c r="AR80" i="1"/>
  <c r="AT83" i="1"/>
  <c r="AV83" i="1"/>
  <c r="AV80" i="1"/>
  <c r="AX81" i="1"/>
  <c r="AZ81" i="1"/>
  <c r="D81" i="1"/>
  <c r="AX82" i="1"/>
  <c r="AZ82" i="1"/>
  <c r="D82" i="1"/>
  <c r="F88" i="1"/>
  <c r="H88" i="1"/>
  <c r="AX85" i="1"/>
  <c r="AZ85" i="1"/>
  <c r="H85" i="1"/>
  <c r="AT88" i="1"/>
  <c r="AV88" i="1"/>
  <c r="AV85" i="1"/>
  <c r="AX86" i="1"/>
  <c r="AZ86" i="1"/>
  <c r="H86" i="1"/>
  <c r="AX87" i="1"/>
  <c r="AZ87" i="1"/>
  <c r="H87" i="1"/>
  <c r="AX88" i="1"/>
  <c r="D88" i="1"/>
  <c r="AY88" i="1"/>
  <c r="BA88" i="1"/>
  <c r="E88" i="1"/>
  <c r="N93" i="1"/>
  <c r="P93" i="1"/>
  <c r="AX90" i="1"/>
  <c r="AZ90" i="1"/>
  <c r="P90" i="1"/>
  <c r="R93" i="1"/>
  <c r="T93" i="1"/>
  <c r="T90" i="1"/>
  <c r="AX91" i="1"/>
  <c r="AZ91" i="1"/>
  <c r="P91" i="1"/>
  <c r="AX92" i="1"/>
  <c r="AZ92" i="1"/>
  <c r="P92" i="1"/>
  <c r="AX93" i="1"/>
  <c r="D93" i="1"/>
  <c r="AY93" i="1"/>
  <c r="BA93" i="1"/>
  <c r="E93" i="1"/>
  <c r="C98" i="1"/>
  <c r="AY94" i="1"/>
  <c r="BA94" i="1"/>
  <c r="E94" i="1"/>
  <c r="D94" i="1"/>
  <c r="G98" i="1"/>
  <c r="I98" i="1"/>
  <c r="I94" i="1"/>
  <c r="H94" i="1"/>
  <c r="K98" i="1"/>
  <c r="M98" i="1"/>
  <c r="M94" i="1"/>
  <c r="L94" i="1"/>
  <c r="O98" i="1"/>
  <c r="Q98" i="1"/>
  <c r="Q94" i="1"/>
  <c r="P94" i="1"/>
  <c r="S98" i="1"/>
  <c r="U98" i="1"/>
  <c r="U94" i="1"/>
  <c r="T94" i="1"/>
  <c r="W98" i="1"/>
  <c r="Y94" i="1"/>
  <c r="X94" i="1"/>
  <c r="AA98" i="1"/>
  <c r="AC98" i="1"/>
  <c r="AC94" i="1"/>
  <c r="AB94" i="1"/>
  <c r="AE98" i="1"/>
  <c r="AG98" i="1"/>
  <c r="AG94" i="1"/>
  <c r="AF94" i="1"/>
  <c r="AI98" i="1"/>
  <c r="AK98" i="1"/>
  <c r="AK94" i="1"/>
  <c r="AJ94" i="1"/>
  <c r="AM98" i="1"/>
  <c r="AO98" i="1"/>
  <c r="AO94" i="1"/>
  <c r="AN94" i="1"/>
  <c r="AQ98" i="1"/>
  <c r="AS94" i="1"/>
  <c r="AR94" i="1"/>
  <c r="AU98" i="1"/>
  <c r="AW98" i="1"/>
  <c r="AW94" i="1"/>
  <c r="AV94" i="1"/>
  <c r="AZ94" i="1"/>
  <c r="V98" i="1"/>
  <c r="X98" i="1"/>
  <c r="AX95" i="1"/>
  <c r="AZ95" i="1"/>
  <c r="X95" i="1"/>
  <c r="AP98" i="1"/>
  <c r="AR98" i="1"/>
  <c r="AR95" i="1"/>
  <c r="AX96" i="1"/>
  <c r="AZ96" i="1"/>
  <c r="X96" i="1"/>
  <c r="AX97" i="1"/>
  <c r="AZ97" i="1"/>
  <c r="X97" i="1"/>
  <c r="AX98" i="1"/>
  <c r="D98" i="1"/>
  <c r="H98" i="1"/>
  <c r="L98" i="1"/>
  <c r="P98" i="1"/>
  <c r="T98" i="1"/>
  <c r="AB98" i="1"/>
  <c r="AF98" i="1"/>
  <c r="AJ98" i="1"/>
  <c r="AN98" i="1"/>
  <c r="AV98" i="1"/>
  <c r="C103" i="1"/>
  <c r="AY99" i="1"/>
  <c r="BA99" i="1"/>
  <c r="E99" i="1"/>
  <c r="D99" i="1"/>
  <c r="G103" i="1"/>
  <c r="I99" i="1"/>
  <c r="H99" i="1"/>
  <c r="K103" i="1"/>
  <c r="M103" i="1"/>
  <c r="M99" i="1"/>
  <c r="L99" i="1"/>
  <c r="O103" i="1"/>
  <c r="Q103" i="1"/>
  <c r="Q99" i="1"/>
  <c r="P99" i="1"/>
  <c r="S103" i="1"/>
  <c r="U103" i="1"/>
  <c r="U99" i="1"/>
  <c r="T99" i="1"/>
  <c r="W103" i="1"/>
  <c r="Y103" i="1"/>
  <c r="Y99" i="1"/>
  <c r="X99" i="1"/>
  <c r="AA103" i="1"/>
  <c r="AC103" i="1"/>
  <c r="AC99" i="1"/>
  <c r="AB99" i="1"/>
  <c r="AE103" i="1"/>
  <c r="AG103" i="1"/>
  <c r="AG99" i="1"/>
  <c r="AF99" i="1"/>
  <c r="AI103" i="1"/>
  <c r="AK103" i="1"/>
  <c r="AK99" i="1"/>
  <c r="AJ99" i="1"/>
  <c r="AM103" i="1"/>
  <c r="AO103" i="1"/>
  <c r="AO99" i="1"/>
  <c r="AN99" i="1"/>
  <c r="AQ103" i="1"/>
  <c r="AS103" i="1"/>
  <c r="AS99" i="1"/>
  <c r="AR99" i="1"/>
  <c r="AU103" i="1"/>
  <c r="AW103" i="1"/>
  <c r="AW99" i="1"/>
  <c r="AV99" i="1"/>
  <c r="AZ99" i="1"/>
  <c r="F103" i="1"/>
  <c r="H103" i="1"/>
  <c r="AX100" i="1"/>
  <c r="AZ100" i="1"/>
  <c r="H100" i="1"/>
  <c r="AX101" i="1"/>
  <c r="AZ101" i="1"/>
  <c r="H101" i="1"/>
  <c r="AX102" i="1"/>
  <c r="AZ102" i="1"/>
  <c r="H102" i="1"/>
  <c r="AX103" i="1"/>
  <c r="D103" i="1"/>
  <c r="L103" i="1"/>
  <c r="P103" i="1"/>
  <c r="T103" i="1"/>
  <c r="X103" i="1"/>
  <c r="AB103" i="1"/>
  <c r="AF103" i="1"/>
  <c r="AJ103" i="1"/>
  <c r="AN103" i="1"/>
  <c r="AR103" i="1"/>
  <c r="AV103" i="1"/>
  <c r="C108" i="1"/>
  <c r="AY104" i="1"/>
  <c r="BA104" i="1"/>
  <c r="E104" i="1"/>
  <c r="D104" i="1"/>
  <c r="G108" i="1"/>
  <c r="I104" i="1"/>
  <c r="H104" i="1"/>
  <c r="K108" i="1"/>
  <c r="M104" i="1"/>
  <c r="L104" i="1"/>
  <c r="O108" i="1"/>
  <c r="Q104" i="1"/>
  <c r="P104" i="1"/>
  <c r="S108" i="1"/>
  <c r="U104" i="1"/>
  <c r="T104" i="1"/>
  <c r="W108" i="1"/>
  <c r="Y104" i="1"/>
  <c r="X104" i="1"/>
  <c r="AA108" i="1"/>
  <c r="AC108" i="1"/>
  <c r="AC104" i="1"/>
  <c r="AB104" i="1"/>
  <c r="AE108" i="1"/>
  <c r="AG108" i="1"/>
  <c r="AG104" i="1"/>
  <c r="AF104" i="1"/>
  <c r="AI108" i="1"/>
  <c r="AK104" i="1"/>
  <c r="AJ104" i="1"/>
  <c r="AM108" i="1"/>
  <c r="AO108" i="1"/>
  <c r="AO104" i="1"/>
  <c r="AN104" i="1"/>
  <c r="AQ108" i="1"/>
  <c r="AS104" i="1"/>
  <c r="AR104" i="1"/>
  <c r="AU108" i="1"/>
  <c r="AW104" i="1"/>
  <c r="AV104" i="1"/>
  <c r="AZ104" i="1"/>
  <c r="B108" i="1"/>
  <c r="AX105" i="1"/>
  <c r="AZ105" i="1"/>
  <c r="D105" i="1"/>
  <c r="F108" i="1"/>
  <c r="H108" i="1"/>
  <c r="H105" i="1"/>
  <c r="J108" i="1"/>
  <c r="L108" i="1"/>
  <c r="L105" i="1"/>
  <c r="N108" i="1"/>
  <c r="P108" i="1"/>
  <c r="P105" i="1"/>
  <c r="R108" i="1"/>
  <c r="T108" i="1"/>
  <c r="T105" i="1"/>
  <c r="V108" i="1"/>
  <c r="X108" i="1"/>
  <c r="X105" i="1"/>
  <c r="AH108" i="1"/>
  <c r="AJ108" i="1"/>
  <c r="AJ105" i="1"/>
  <c r="AP108" i="1"/>
  <c r="AR108" i="1"/>
  <c r="AR105" i="1"/>
  <c r="AT108" i="1"/>
  <c r="AV108" i="1"/>
  <c r="AV105" i="1"/>
  <c r="AX106" i="1"/>
  <c r="AZ106" i="1"/>
  <c r="D106" i="1"/>
  <c r="AX107" i="1"/>
  <c r="AZ107" i="1"/>
  <c r="D107" i="1"/>
  <c r="AB108" i="1"/>
  <c r="AF108" i="1"/>
  <c r="AN108" i="1"/>
  <c r="C113" i="1"/>
  <c r="AY109" i="1"/>
  <c r="BA109" i="1"/>
  <c r="E109" i="1"/>
  <c r="D109" i="1"/>
  <c r="G113" i="1"/>
  <c r="I113" i="1"/>
  <c r="I109" i="1"/>
  <c r="H109" i="1"/>
  <c r="K113" i="1"/>
  <c r="M109" i="1"/>
  <c r="L109" i="1"/>
  <c r="O113" i="1"/>
  <c r="Q113" i="1"/>
  <c r="Q109" i="1"/>
  <c r="P109" i="1"/>
  <c r="S113" i="1"/>
  <c r="U109" i="1"/>
  <c r="T109" i="1"/>
  <c r="W113" i="1"/>
  <c r="Y113" i="1"/>
  <c r="Y109" i="1"/>
  <c r="X109" i="1"/>
  <c r="AA113" i="1"/>
  <c r="AC113" i="1"/>
  <c r="AC109" i="1"/>
  <c r="AB109" i="1"/>
  <c r="AE113" i="1"/>
  <c r="AG113" i="1"/>
  <c r="AG109" i="1"/>
  <c r="AF109" i="1"/>
  <c r="AI113" i="1"/>
  <c r="AK113" i="1"/>
  <c r="AK109" i="1"/>
  <c r="AJ109" i="1"/>
  <c r="AM113" i="1"/>
  <c r="AO109" i="1"/>
  <c r="AN109" i="1"/>
  <c r="AQ113" i="1"/>
  <c r="AS113" i="1"/>
  <c r="AS109" i="1"/>
  <c r="AR109" i="1"/>
  <c r="AU113" i="1"/>
  <c r="AW109" i="1"/>
  <c r="AV109" i="1"/>
  <c r="AZ109" i="1"/>
  <c r="J113" i="1"/>
  <c r="L113" i="1"/>
  <c r="AX110" i="1"/>
  <c r="AZ110" i="1"/>
  <c r="L110" i="1"/>
  <c r="R113" i="1"/>
  <c r="T113" i="1"/>
  <c r="T110" i="1"/>
  <c r="AL113" i="1"/>
  <c r="AN113" i="1"/>
  <c r="AN110" i="1"/>
  <c r="AT113" i="1"/>
  <c r="AV113" i="1"/>
  <c r="AV110" i="1"/>
  <c r="AX111" i="1"/>
  <c r="AZ111" i="1"/>
  <c r="L111" i="1"/>
  <c r="AX112" i="1"/>
  <c r="AZ112" i="1"/>
  <c r="L112" i="1"/>
  <c r="AX113" i="1"/>
  <c r="D113" i="1"/>
  <c r="H113" i="1"/>
  <c r="P113" i="1"/>
  <c r="X113" i="1"/>
  <c r="AB113" i="1"/>
  <c r="AF113" i="1"/>
  <c r="AJ113" i="1"/>
  <c r="AR113" i="1"/>
  <c r="C118" i="1"/>
  <c r="AY114" i="1"/>
  <c r="BA114" i="1"/>
  <c r="E114" i="1"/>
  <c r="D114" i="1"/>
  <c r="G118" i="1"/>
  <c r="I114" i="1"/>
  <c r="H114" i="1"/>
  <c r="K118" i="1"/>
  <c r="M114" i="1"/>
  <c r="L114" i="1"/>
  <c r="O118" i="1"/>
  <c r="Q114" i="1"/>
  <c r="P114" i="1"/>
  <c r="S118" i="1"/>
  <c r="U114" i="1"/>
  <c r="T114" i="1"/>
  <c r="W118" i="1"/>
  <c r="Y114" i="1"/>
  <c r="X114" i="1"/>
  <c r="AA118" i="1"/>
  <c r="AC118" i="1"/>
  <c r="AC114" i="1"/>
  <c r="AB114" i="1"/>
  <c r="AE118" i="1"/>
  <c r="AG118" i="1"/>
  <c r="AG114" i="1"/>
  <c r="AF114" i="1"/>
  <c r="AI118" i="1"/>
  <c r="AK118" i="1"/>
  <c r="AK114" i="1"/>
  <c r="AJ114" i="1"/>
  <c r="AM118" i="1"/>
  <c r="AO118" i="1"/>
  <c r="AO114" i="1"/>
  <c r="AN114" i="1"/>
  <c r="AQ118" i="1"/>
  <c r="AS118" i="1"/>
  <c r="AS114" i="1"/>
  <c r="AR114" i="1"/>
  <c r="AU118" i="1"/>
  <c r="AW118" i="1"/>
  <c r="AW114" i="1"/>
  <c r="AV114" i="1"/>
  <c r="AZ114" i="1"/>
  <c r="B118" i="1"/>
  <c r="AX115" i="1"/>
  <c r="AZ115" i="1"/>
  <c r="D115" i="1"/>
  <c r="F118" i="1"/>
  <c r="H118" i="1"/>
  <c r="H115" i="1"/>
  <c r="J118" i="1"/>
  <c r="L118" i="1"/>
  <c r="L115" i="1"/>
  <c r="N118" i="1"/>
  <c r="P118" i="1"/>
  <c r="P115" i="1"/>
  <c r="R118" i="1"/>
  <c r="T118" i="1"/>
  <c r="T115" i="1"/>
  <c r="V118" i="1"/>
  <c r="X118" i="1"/>
  <c r="X115" i="1"/>
  <c r="AX116" i="1"/>
  <c r="AZ116" i="1"/>
  <c r="D116" i="1"/>
  <c r="AX117" i="1"/>
  <c r="AZ117" i="1"/>
  <c r="D117" i="1"/>
  <c r="AB118" i="1"/>
  <c r="AF118" i="1"/>
  <c r="AJ118" i="1"/>
  <c r="AN118" i="1"/>
  <c r="AR118" i="1"/>
  <c r="AV118" i="1"/>
  <c r="C123" i="1"/>
  <c r="AY119" i="1"/>
  <c r="BA119" i="1"/>
  <c r="E119" i="1"/>
  <c r="D119" i="1"/>
  <c r="G123" i="1"/>
  <c r="I119" i="1"/>
  <c r="H119" i="1"/>
  <c r="K123" i="1"/>
  <c r="M123" i="1"/>
  <c r="M119" i="1"/>
  <c r="L119" i="1"/>
  <c r="O123" i="1"/>
  <c r="Q123" i="1"/>
  <c r="Q119" i="1"/>
  <c r="P119" i="1"/>
  <c r="S123" i="1"/>
  <c r="U123" i="1"/>
  <c r="U119" i="1"/>
  <c r="T119" i="1"/>
  <c r="W123" i="1"/>
  <c r="Y119" i="1"/>
  <c r="X119" i="1"/>
  <c r="AA123" i="1"/>
  <c r="AC123" i="1"/>
  <c r="AC119" i="1"/>
  <c r="AB119" i="1"/>
  <c r="AE123" i="1"/>
  <c r="AG123" i="1"/>
  <c r="AG119" i="1"/>
  <c r="AF119" i="1"/>
  <c r="AI123" i="1"/>
  <c r="AK123" i="1"/>
  <c r="AK119" i="1"/>
  <c r="AJ119" i="1"/>
  <c r="AM123" i="1"/>
  <c r="AO123" i="1"/>
  <c r="AO119" i="1"/>
  <c r="AN119" i="1"/>
  <c r="AQ123" i="1"/>
  <c r="AS123" i="1"/>
  <c r="AS119" i="1"/>
  <c r="AR119" i="1"/>
  <c r="AU123" i="1"/>
  <c r="AW123" i="1"/>
  <c r="AW119" i="1"/>
  <c r="AV119" i="1"/>
  <c r="AZ119" i="1"/>
  <c r="B123" i="1"/>
  <c r="AX120" i="1"/>
  <c r="AZ120" i="1"/>
  <c r="D120" i="1"/>
  <c r="F123" i="1"/>
  <c r="H123" i="1"/>
  <c r="H120" i="1"/>
  <c r="V123" i="1"/>
  <c r="X123" i="1"/>
  <c r="X120" i="1"/>
  <c r="AX121" i="1"/>
  <c r="AZ121" i="1"/>
  <c r="D121" i="1"/>
  <c r="AX122" i="1"/>
  <c r="AZ122" i="1"/>
  <c r="D122" i="1"/>
  <c r="L123" i="1"/>
  <c r="P123" i="1"/>
  <c r="T123" i="1"/>
  <c r="AB123" i="1"/>
  <c r="AF123" i="1"/>
  <c r="AJ123" i="1"/>
  <c r="AN123" i="1"/>
  <c r="AR123" i="1"/>
  <c r="AV123" i="1"/>
  <c r="C128" i="1"/>
  <c r="AY124" i="1"/>
  <c r="BA124" i="1"/>
  <c r="E124" i="1"/>
  <c r="D124" i="1"/>
  <c r="G128" i="1"/>
  <c r="I128" i="1"/>
  <c r="I124" i="1"/>
  <c r="H124" i="1"/>
  <c r="K128" i="1"/>
  <c r="M128" i="1"/>
  <c r="M124" i="1"/>
  <c r="L124" i="1"/>
  <c r="O128" i="1"/>
  <c r="Q128" i="1"/>
  <c r="Q124" i="1"/>
  <c r="P124" i="1"/>
  <c r="S128" i="1"/>
  <c r="U124" i="1"/>
  <c r="T124" i="1"/>
  <c r="W128" i="1"/>
  <c r="Y128" i="1"/>
  <c r="Y124" i="1"/>
  <c r="X124" i="1"/>
  <c r="AA128" i="1"/>
  <c r="AC128" i="1"/>
  <c r="AC124" i="1"/>
  <c r="AB124" i="1"/>
  <c r="AE128" i="1"/>
  <c r="AG128" i="1"/>
  <c r="AG124" i="1"/>
  <c r="AF124" i="1"/>
  <c r="AI128" i="1"/>
  <c r="AK128" i="1"/>
  <c r="AK124" i="1"/>
  <c r="AJ124" i="1"/>
  <c r="AM128" i="1"/>
  <c r="AO128" i="1"/>
  <c r="AO124" i="1"/>
  <c r="AN124" i="1"/>
  <c r="AQ128" i="1"/>
  <c r="AS128" i="1"/>
  <c r="AS124" i="1"/>
  <c r="AR124" i="1"/>
  <c r="AU128" i="1"/>
  <c r="AW128" i="1"/>
  <c r="AW124" i="1"/>
  <c r="AV124" i="1"/>
  <c r="AZ124" i="1"/>
  <c r="B128" i="1"/>
  <c r="AX125" i="1"/>
  <c r="AZ125" i="1"/>
  <c r="D125" i="1"/>
  <c r="R128" i="1"/>
  <c r="T128" i="1"/>
  <c r="T125" i="1"/>
  <c r="AX126" i="1"/>
  <c r="AZ126" i="1"/>
  <c r="D126" i="1"/>
  <c r="AX127" i="1"/>
  <c r="AZ127" i="1"/>
  <c r="D127" i="1"/>
  <c r="H128" i="1"/>
  <c r="L128" i="1"/>
  <c r="P128" i="1"/>
  <c r="X128" i="1"/>
  <c r="AB128" i="1"/>
  <c r="AF128" i="1"/>
  <c r="AJ128" i="1"/>
  <c r="AN128" i="1"/>
  <c r="AR128" i="1"/>
  <c r="AV128" i="1"/>
  <c r="C133" i="1"/>
  <c r="AY129" i="1"/>
  <c r="BA129" i="1"/>
  <c r="E129" i="1"/>
  <c r="D129" i="1"/>
  <c r="G133" i="1"/>
  <c r="I133" i="1"/>
  <c r="I129" i="1"/>
  <c r="H129" i="1"/>
  <c r="K133" i="1"/>
  <c r="M129" i="1"/>
  <c r="L129" i="1"/>
  <c r="O133" i="1"/>
  <c r="Q129" i="1"/>
  <c r="P129" i="1"/>
  <c r="S133" i="1"/>
  <c r="U129" i="1"/>
  <c r="T129" i="1"/>
  <c r="W133" i="1"/>
  <c r="Y129" i="1"/>
  <c r="X129" i="1"/>
  <c r="AA133" i="1"/>
  <c r="AC129" i="1"/>
  <c r="AB129" i="1"/>
  <c r="AE133" i="1"/>
  <c r="AG129" i="1"/>
  <c r="AF129" i="1"/>
  <c r="AI133" i="1"/>
  <c r="AK129" i="1"/>
  <c r="AJ129" i="1"/>
  <c r="AM133" i="1"/>
  <c r="AO129" i="1"/>
  <c r="AN129" i="1"/>
  <c r="AQ133" i="1"/>
  <c r="AS129" i="1"/>
  <c r="AR129" i="1"/>
  <c r="AU133" i="1"/>
  <c r="AW129" i="1"/>
  <c r="AV129" i="1"/>
  <c r="AZ129" i="1"/>
  <c r="B133" i="1"/>
  <c r="AX130" i="1"/>
  <c r="AZ130" i="1"/>
  <c r="D130" i="1"/>
  <c r="J133" i="1"/>
  <c r="L133" i="1"/>
  <c r="L130" i="1"/>
  <c r="N133" i="1"/>
  <c r="P133" i="1"/>
  <c r="P130" i="1"/>
  <c r="R133" i="1"/>
  <c r="T133" i="1"/>
  <c r="T130" i="1"/>
  <c r="V133" i="1"/>
  <c r="X133" i="1"/>
  <c r="X130" i="1"/>
  <c r="Z133" i="1"/>
  <c r="AB133" i="1"/>
  <c r="AB130" i="1"/>
  <c r="AD133" i="1"/>
  <c r="AF133" i="1"/>
  <c r="AF130" i="1"/>
  <c r="AH133" i="1"/>
  <c r="AJ133" i="1"/>
  <c r="AJ130" i="1"/>
  <c r="AL133" i="1"/>
  <c r="AN133" i="1"/>
  <c r="AN130" i="1"/>
  <c r="AP133" i="1"/>
  <c r="AR133" i="1"/>
  <c r="AR130" i="1"/>
  <c r="AT133" i="1"/>
  <c r="AV133" i="1"/>
  <c r="AV130" i="1"/>
  <c r="AX131" i="1"/>
  <c r="AZ131" i="1"/>
  <c r="D131" i="1"/>
  <c r="AX132" i="1"/>
  <c r="AZ132" i="1"/>
  <c r="D132" i="1"/>
  <c r="H133" i="1"/>
  <c r="AX134" i="1"/>
  <c r="AZ134" i="1"/>
  <c r="AV134" i="1"/>
  <c r="AX133" i="1"/>
  <c r="D133" i="1"/>
  <c r="AW133" i="1"/>
  <c r="AS133" i="1"/>
  <c r="AO133" i="1"/>
  <c r="AK133" i="1"/>
  <c r="AG133" i="1"/>
  <c r="AC133" i="1"/>
  <c r="Y133" i="1"/>
  <c r="U133" i="1"/>
  <c r="Q133" i="1"/>
  <c r="M133" i="1"/>
  <c r="AY133" i="1"/>
  <c r="BA133" i="1"/>
  <c r="E133" i="1"/>
  <c r="AX128" i="1"/>
  <c r="D128" i="1"/>
  <c r="U128" i="1"/>
  <c r="AY128" i="1"/>
  <c r="BA128" i="1"/>
  <c r="E128" i="1"/>
  <c r="AX123" i="1"/>
  <c r="D123" i="1"/>
  <c r="Y123" i="1"/>
  <c r="I123" i="1"/>
  <c r="AY123" i="1"/>
  <c r="BA123" i="1"/>
  <c r="E123" i="1"/>
  <c r="AX118" i="1"/>
  <c r="D118" i="1"/>
  <c r="Y118" i="1"/>
  <c r="U118" i="1"/>
  <c r="Q118" i="1"/>
  <c r="M118" i="1"/>
  <c r="I118" i="1"/>
  <c r="AY118" i="1"/>
  <c r="BA118" i="1"/>
  <c r="E118" i="1"/>
  <c r="AW113" i="1"/>
  <c r="AO113" i="1"/>
  <c r="U113" i="1"/>
  <c r="M113" i="1"/>
  <c r="AY113" i="1"/>
  <c r="E113" i="1"/>
  <c r="AX108" i="1"/>
  <c r="D108" i="1"/>
  <c r="AW108" i="1"/>
  <c r="AS108" i="1"/>
  <c r="AK108" i="1"/>
  <c r="Y108" i="1"/>
  <c r="U108" i="1"/>
  <c r="Q108" i="1"/>
  <c r="M108" i="1"/>
  <c r="I108" i="1"/>
  <c r="AY108" i="1"/>
  <c r="BA108" i="1"/>
  <c r="E108" i="1"/>
  <c r="I103" i="1"/>
  <c r="AY103" i="1"/>
  <c r="E103" i="1"/>
  <c r="AS98" i="1"/>
  <c r="Y98" i="1"/>
  <c r="AY98" i="1"/>
  <c r="E98" i="1"/>
  <c r="AZ93" i="1"/>
  <c r="AZ88" i="1"/>
  <c r="AX83" i="1"/>
  <c r="D83" i="1"/>
  <c r="AW83" i="1"/>
  <c r="AS83" i="1"/>
  <c r="AO83" i="1"/>
  <c r="AK83" i="1"/>
  <c r="AG83" i="1"/>
  <c r="AC83" i="1"/>
  <c r="Y83" i="1"/>
  <c r="U83" i="1"/>
  <c r="Q83" i="1"/>
  <c r="M83" i="1"/>
  <c r="I83" i="1"/>
  <c r="AY83" i="1"/>
  <c r="BA83" i="1"/>
  <c r="E83" i="1"/>
  <c r="Y78" i="1"/>
  <c r="U78" i="1"/>
  <c r="Q78" i="1"/>
  <c r="AY78" i="1"/>
  <c r="E78" i="1"/>
  <c r="AX73" i="1"/>
  <c r="D73" i="1"/>
  <c r="AW73" i="1"/>
  <c r="AS73" i="1"/>
  <c r="AO73" i="1"/>
  <c r="AK73" i="1"/>
  <c r="AG73" i="1"/>
  <c r="AC73" i="1"/>
  <c r="Y73" i="1"/>
  <c r="U73" i="1"/>
  <c r="Q73" i="1"/>
  <c r="M73" i="1"/>
  <c r="I73" i="1"/>
  <c r="AY73" i="1"/>
  <c r="BA73" i="1"/>
  <c r="E73" i="1"/>
  <c r="AX68" i="1"/>
  <c r="D68" i="1"/>
  <c r="AW68" i="1"/>
  <c r="AS68" i="1"/>
  <c r="AO68" i="1"/>
  <c r="AK68" i="1"/>
  <c r="AG68" i="1"/>
  <c r="AC68" i="1"/>
  <c r="Y68" i="1"/>
  <c r="U68" i="1"/>
  <c r="Q68" i="1"/>
  <c r="M68" i="1"/>
  <c r="I68" i="1"/>
  <c r="AY68" i="1"/>
  <c r="BA68" i="1"/>
  <c r="E68" i="1"/>
  <c r="AX63" i="1"/>
  <c r="D63" i="1"/>
  <c r="AW63" i="1"/>
  <c r="AS63" i="1"/>
  <c r="AO63" i="1"/>
  <c r="AK63" i="1"/>
  <c r="AG63" i="1"/>
  <c r="AC63" i="1"/>
  <c r="Y63" i="1"/>
  <c r="U63" i="1"/>
  <c r="Q63" i="1"/>
  <c r="M63" i="1"/>
  <c r="I63" i="1"/>
  <c r="AY63" i="1"/>
  <c r="BA63" i="1"/>
  <c r="E63" i="1"/>
  <c r="AZ58" i="1"/>
  <c r="AX53" i="1"/>
  <c r="D53" i="1"/>
  <c r="AW53" i="1"/>
  <c r="AS53" i="1"/>
  <c r="AO53" i="1"/>
  <c r="AK53" i="1"/>
  <c r="AG53" i="1"/>
  <c r="AC53" i="1"/>
  <c r="Y53" i="1"/>
  <c r="U53" i="1"/>
  <c r="Q53" i="1"/>
  <c r="M53" i="1"/>
  <c r="I53" i="1"/>
  <c r="AY53" i="1"/>
  <c r="BA53" i="1"/>
  <c r="E53" i="1"/>
  <c r="AW48" i="1"/>
  <c r="AS48" i="1"/>
  <c r="AO48" i="1"/>
  <c r="AK48" i="1"/>
  <c r="AG48" i="1"/>
  <c r="AC48" i="1"/>
  <c r="Y48" i="1"/>
  <c r="U48" i="1"/>
  <c r="Q48" i="1"/>
  <c r="M48" i="1"/>
  <c r="I48" i="1"/>
  <c r="AY48" i="1"/>
  <c r="E48" i="1"/>
  <c r="AX43" i="1"/>
  <c r="D43" i="1"/>
  <c r="AW43" i="1"/>
  <c r="AS43" i="1"/>
  <c r="AO43" i="1"/>
  <c r="AK43" i="1"/>
  <c r="AG43" i="1"/>
  <c r="AC43" i="1"/>
  <c r="Y43" i="1"/>
  <c r="U43" i="1"/>
  <c r="Q43" i="1"/>
  <c r="M43" i="1"/>
  <c r="I43" i="1"/>
  <c r="AY43" i="1"/>
  <c r="BA43" i="1"/>
  <c r="E43" i="1"/>
  <c r="AX38" i="1"/>
  <c r="D38" i="1"/>
  <c r="AW38" i="1"/>
  <c r="AS38" i="1"/>
  <c r="AO38" i="1"/>
  <c r="AK38" i="1"/>
  <c r="AG38" i="1"/>
  <c r="AC38" i="1"/>
  <c r="Y38" i="1"/>
  <c r="U38" i="1"/>
  <c r="Q38" i="1"/>
  <c r="M38" i="1"/>
  <c r="I38" i="1"/>
  <c r="AY38" i="1"/>
  <c r="BA38" i="1"/>
  <c r="E38" i="1"/>
  <c r="AW33" i="1"/>
  <c r="AS33" i="1"/>
  <c r="AO33" i="1"/>
  <c r="AK33" i="1"/>
  <c r="AG33" i="1"/>
  <c r="AC33" i="1"/>
  <c r="Y33" i="1"/>
  <c r="U33" i="1"/>
  <c r="Q33" i="1"/>
  <c r="I33" i="1"/>
  <c r="AY33" i="1"/>
  <c r="E33" i="1"/>
  <c r="AX28" i="1"/>
  <c r="D28" i="1"/>
  <c r="AW28" i="1"/>
  <c r="AS28" i="1"/>
  <c r="AO28" i="1"/>
  <c r="AK28" i="1"/>
  <c r="AG28" i="1"/>
  <c r="AC28" i="1"/>
  <c r="Y28" i="1"/>
  <c r="U28" i="1"/>
  <c r="Q28" i="1"/>
  <c r="M28" i="1"/>
  <c r="I28" i="1"/>
  <c r="AY28" i="1"/>
  <c r="BA28" i="1"/>
  <c r="E28" i="1"/>
  <c r="AX23" i="1"/>
  <c r="D23" i="1"/>
  <c r="AW23" i="1"/>
  <c r="AS23" i="1"/>
  <c r="AO23" i="1"/>
  <c r="AK23" i="1"/>
  <c r="AG23" i="1"/>
  <c r="AC23" i="1"/>
  <c r="Y23" i="1"/>
  <c r="U23" i="1"/>
  <c r="Q23" i="1"/>
  <c r="M23" i="1"/>
  <c r="I23" i="1"/>
  <c r="AY23" i="1"/>
  <c r="BA23" i="1"/>
  <c r="E23" i="1"/>
  <c r="AT135" i="1"/>
  <c r="AV18" i="1"/>
  <c r="AP135" i="1"/>
  <c r="AR18" i="1"/>
  <c r="AL135" i="1"/>
  <c r="AN18" i="1"/>
  <c r="AH135" i="1"/>
  <c r="AJ18" i="1"/>
  <c r="AD135" i="1"/>
  <c r="AF18" i="1"/>
  <c r="Z135" i="1"/>
  <c r="AB18" i="1"/>
  <c r="V135" i="1"/>
  <c r="X18" i="1"/>
  <c r="R135" i="1"/>
  <c r="T18" i="1"/>
  <c r="N135" i="1"/>
  <c r="P18" i="1"/>
  <c r="J135" i="1"/>
  <c r="L18" i="1"/>
  <c r="F135" i="1"/>
  <c r="H18" i="1"/>
  <c r="B135" i="1"/>
  <c r="AX18" i="1"/>
  <c r="D18" i="1"/>
  <c r="AU135" i="1"/>
  <c r="AW135" i="1"/>
  <c r="AW18" i="1"/>
  <c r="AQ135" i="1"/>
  <c r="AS135" i="1"/>
  <c r="AS18" i="1"/>
  <c r="AM135" i="1"/>
  <c r="AO135" i="1"/>
  <c r="AO18" i="1"/>
  <c r="AI135" i="1"/>
  <c r="AK135" i="1"/>
  <c r="AK18" i="1"/>
  <c r="AE135" i="1"/>
  <c r="AG135" i="1"/>
  <c r="AG18" i="1"/>
  <c r="AA135" i="1"/>
  <c r="AC135" i="1"/>
  <c r="AC18" i="1"/>
  <c r="W135" i="1"/>
  <c r="Y135" i="1"/>
  <c r="Y18" i="1"/>
  <c r="S135" i="1"/>
  <c r="U135" i="1"/>
  <c r="U18" i="1"/>
  <c r="O135" i="1"/>
  <c r="Q135" i="1"/>
  <c r="Q18" i="1"/>
  <c r="K135" i="1"/>
  <c r="M135" i="1"/>
  <c r="M18" i="1"/>
  <c r="G135" i="1"/>
  <c r="I135" i="1"/>
  <c r="I18" i="1"/>
  <c r="C135" i="1"/>
  <c r="AY18" i="1"/>
  <c r="BA18" i="1"/>
  <c r="E18" i="1"/>
  <c r="AZ9" i="1"/>
  <c r="AU12" i="1"/>
  <c r="AW11" i="1"/>
  <c r="AT12" i="1"/>
  <c r="AV11" i="1"/>
  <c r="AQ12" i="1"/>
  <c r="AS11" i="1"/>
  <c r="AP12" i="1"/>
  <c r="AR11" i="1"/>
  <c r="AM12" i="1"/>
  <c r="AO11" i="1"/>
  <c r="AL12" i="1"/>
  <c r="AN11" i="1"/>
  <c r="AI12" i="1"/>
  <c r="AK11" i="1"/>
  <c r="AH12" i="1"/>
  <c r="AJ11" i="1"/>
  <c r="AE12" i="1"/>
  <c r="AG11" i="1"/>
  <c r="AD12" i="1"/>
  <c r="AF11" i="1"/>
  <c r="AA12" i="1"/>
  <c r="AC11" i="1"/>
  <c r="Z12" i="1"/>
  <c r="AB11" i="1"/>
  <c r="W12" i="1"/>
  <c r="Y11" i="1"/>
  <c r="V12" i="1"/>
  <c r="X11" i="1"/>
  <c r="S12" i="1"/>
  <c r="U11" i="1"/>
  <c r="R12" i="1"/>
  <c r="T11" i="1"/>
  <c r="O12" i="1"/>
  <c r="Q11" i="1"/>
  <c r="N12" i="1"/>
  <c r="P11" i="1"/>
  <c r="K12" i="1"/>
  <c r="M11" i="1"/>
  <c r="J12" i="1"/>
  <c r="L11" i="1"/>
  <c r="G12" i="1"/>
  <c r="I11" i="1"/>
  <c r="F12" i="1"/>
  <c r="H11" i="1"/>
  <c r="C12" i="1"/>
  <c r="AY11" i="1"/>
  <c r="E11" i="1"/>
  <c r="AZ8" i="1"/>
  <c r="B12" i="1"/>
  <c r="AX11" i="1"/>
  <c r="AZ11" i="1"/>
  <c r="D11" i="1"/>
  <c r="B136" i="1"/>
  <c r="AX12" i="1"/>
  <c r="D12" i="1"/>
  <c r="BA11" i="1"/>
  <c r="C136" i="1"/>
  <c r="AY12" i="1"/>
  <c r="BA12" i="1"/>
  <c r="E12" i="1"/>
  <c r="F136" i="1"/>
  <c r="H12" i="1"/>
  <c r="G136" i="1"/>
  <c r="I12" i="1"/>
  <c r="J136" i="1"/>
  <c r="L12" i="1"/>
  <c r="K136" i="1"/>
  <c r="M12" i="1"/>
  <c r="N136" i="1"/>
  <c r="P12" i="1"/>
  <c r="O136" i="1"/>
  <c r="Q12" i="1"/>
  <c r="R136" i="1"/>
  <c r="T12" i="1"/>
  <c r="S136" i="1"/>
  <c r="U12" i="1"/>
  <c r="V136" i="1"/>
  <c r="X12" i="1"/>
  <c r="W136" i="1"/>
  <c r="Y12" i="1"/>
  <c r="Z136" i="1"/>
  <c r="AB12" i="1"/>
  <c r="AA136" i="1"/>
  <c r="AC12" i="1"/>
  <c r="AD136" i="1"/>
  <c r="AF12" i="1"/>
  <c r="AE136" i="1"/>
  <c r="AG12" i="1"/>
  <c r="AH136" i="1"/>
  <c r="AJ12" i="1"/>
  <c r="AI136" i="1"/>
  <c r="AK12" i="1"/>
  <c r="AL136" i="1"/>
  <c r="AN12" i="1"/>
  <c r="AM136" i="1"/>
  <c r="AO12" i="1"/>
  <c r="AP136" i="1"/>
  <c r="AR12" i="1"/>
  <c r="AQ136" i="1"/>
  <c r="AS12" i="1"/>
  <c r="AT136" i="1"/>
  <c r="AV12" i="1"/>
  <c r="AU136" i="1"/>
  <c r="AW12" i="1"/>
  <c r="AY135" i="1"/>
  <c r="E135" i="1"/>
  <c r="AZ18" i="1"/>
  <c r="AX135" i="1"/>
  <c r="AZ135" i="1"/>
  <c r="D135" i="1"/>
  <c r="H135" i="1"/>
  <c r="L135" i="1"/>
  <c r="P135" i="1"/>
  <c r="T135" i="1"/>
  <c r="X135" i="1"/>
  <c r="AB135" i="1"/>
  <c r="AF135" i="1"/>
  <c r="AJ135" i="1"/>
  <c r="AN135" i="1"/>
  <c r="AR135" i="1"/>
  <c r="AV135" i="1"/>
  <c r="AZ23" i="1"/>
  <c r="AZ28" i="1"/>
  <c r="BA33" i="1"/>
  <c r="AZ33" i="1"/>
  <c r="AZ38" i="1"/>
  <c r="AZ43" i="1"/>
  <c r="BA48" i="1"/>
  <c r="AZ48" i="1"/>
  <c r="AZ53" i="1"/>
  <c r="AZ63" i="1"/>
  <c r="AZ68" i="1"/>
  <c r="AZ73" i="1"/>
  <c r="BA78" i="1"/>
  <c r="AZ78" i="1"/>
  <c r="AZ83" i="1"/>
  <c r="BA98" i="1"/>
  <c r="AZ98" i="1"/>
  <c r="BA103" i="1"/>
  <c r="AZ103" i="1"/>
  <c r="AZ108" i="1"/>
  <c r="BA113" i="1"/>
  <c r="AZ113" i="1"/>
  <c r="AZ118" i="1"/>
  <c r="AZ123" i="1"/>
  <c r="AZ128" i="1"/>
  <c r="AZ133" i="1"/>
  <c r="BA135" i="1"/>
  <c r="AU137" i="1"/>
  <c r="AW137" i="1"/>
  <c r="AW136" i="1"/>
  <c r="AT137" i="1"/>
  <c r="AV137" i="1"/>
  <c r="AV136" i="1"/>
  <c r="AQ137" i="1"/>
  <c r="AS137" i="1"/>
  <c r="AS136" i="1"/>
  <c r="AP137" i="1"/>
  <c r="AR137" i="1"/>
  <c r="AR136" i="1"/>
  <c r="AM137" i="1"/>
  <c r="AO137" i="1"/>
  <c r="AO136" i="1"/>
  <c r="AL137" i="1"/>
  <c r="AN137" i="1"/>
  <c r="AN136" i="1"/>
  <c r="AI137" i="1"/>
  <c r="AK137" i="1"/>
  <c r="AK136" i="1"/>
  <c r="AH137" i="1"/>
  <c r="AJ137" i="1"/>
  <c r="AJ136" i="1"/>
  <c r="AE137" i="1"/>
  <c r="AG137" i="1"/>
  <c r="AG136" i="1"/>
  <c r="AD137" i="1"/>
  <c r="AF137" i="1"/>
  <c r="AF136" i="1"/>
  <c r="AA137" i="1"/>
  <c r="AC137" i="1"/>
  <c r="AC136" i="1"/>
  <c r="Z137" i="1"/>
  <c r="AB137" i="1"/>
  <c r="AB136" i="1"/>
  <c r="W137" i="1"/>
  <c r="Y137" i="1"/>
  <c r="Y136" i="1"/>
  <c r="V137" i="1"/>
  <c r="X137" i="1"/>
  <c r="X136" i="1"/>
  <c r="S137" i="1"/>
  <c r="U137" i="1"/>
  <c r="U136" i="1"/>
  <c r="R137" i="1"/>
  <c r="T137" i="1"/>
  <c r="T136" i="1"/>
  <c r="O137" i="1"/>
  <c r="Q137" i="1"/>
  <c r="Q136" i="1"/>
  <c r="N137" i="1"/>
  <c r="P137" i="1"/>
  <c r="P136" i="1"/>
  <c r="K137" i="1"/>
  <c r="M137" i="1"/>
  <c r="M136" i="1"/>
  <c r="J137" i="1"/>
  <c r="L137" i="1"/>
  <c r="L136" i="1"/>
  <c r="G137" i="1"/>
  <c r="I137" i="1"/>
  <c r="I136" i="1"/>
  <c r="F137" i="1"/>
  <c r="H137" i="1"/>
  <c r="H136" i="1"/>
  <c r="C137" i="1"/>
  <c r="AY136" i="1"/>
  <c r="BA136" i="1"/>
  <c r="E136" i="1"/>
  <c r="AZ12" i="1"/>
  <c r="B137" i="1"/>
  <c r="AX136" i="1"/>
  <c r="AZ136" i="1"/>
  <c r="D136" i="1"/>
  <c r="AX137" i="1"/>
  <c r="D137" i="1"/>
  <c r="AY137" i="1"/>
  <c r="BA137" i="1"/>
  <c r="E137" i="1"/>
  <c r="AZ137" i="1"/>
</calcChain>
</file>

<file path=xl/sharedStrings.xml><?xml version="1.0" encoding="utf-8"?>
<sst xmlns="http://schemas.openxmlformats.org/spreadsheetml/2006/main" count="200" uniqueCount="152">
  <si>
    <t>Michigan Statewide Independent Living Corp</t>
  </si>
  <si>
    <t xml:space="preserve">Budget vs. Actuals: FY_2019_2020 - FY20 P&amp;L </t>
  </si>
  <si>
    <t>October 2019 - September 2020</t>
  </si>
  <si>
    <t>Oct 2019</t>
  </si>
  <si>
    <t>Nov 2019</t>
  </si>
  <si>
    <t>Dec 2019</t>
  </si>
  <si>
    <t>Jan 2020</t>
  </si>
  <si>
    <t>Feb 2020</t>
  </si>
  <si>
    <t>Mar 2020</t>
  </si>
  <si>
    <t>Apr 2020</t>
  </si>
  <si>
    <t>May 2020</t>
  </si>
  <si>
    <t>Jun 2020</t>
  </si>
  <si>
    <t>Jul 2020</t>
  </si>
  <si>
    <t>Aug 2020</t>
  </si>
  <si>
    <t>Sep 2020</t>
  </si>
  <si>
    <t>Total</t>
  </si>
  <si>
    <t>Actual</t>
  </si>
  <si>
    <t>Budget</t>
  </si>
  <si>
    <t>over/under Budget</t>
  </si>
  <si>
    <t>% of Budget</t>
  </si>
  <si>
    <t>Revenue</t>
  </si>
  <si>
    <t xml:space="preserve">   4010-00 MRS Grant</t>
  </si>
  <si>
    <t xml:space="preserve">   4020-00 BSBP Grant</t>
  </si>
  <si>
    <t xml:space="preserve">   4900-00 Interest Income</t>
  </si>
  <si>
    <t>Total Revenue</t>
  </si>
  <si>
    <t>Gross Profit</t>
  </si>
  <si>
    <t>Expenditures</t>
  </si>
  <si>
    <t xml:space="preserve">   5000-00 Wage Expense</t>
  </si>
  <si>
    <t xml:space="preserve">      5000-01 Wages-MRS</t>
  </si>
  <si>
    <t xml:space="preserve">      5000-02 Wages-BSBP</t>
  </si>
  <si>
    <t xml:space="preserve">      5000-99 Wages-Unallocated</t>
  </si>
  <si>
    <t xml:space="preserve">   Total 5000-00 Wage Expense</t>
  </si>
  <si>
    <t xml:space="preserve">   5100-00 Social Security Expense</t>
  </si>
  <si>
    <t xml:space="preserve">      5100-01 Social Sec-MRS</t>
  </si>
  <si>
    <t xml:space="preserve">      5100-02 Social Sec-BSBP</t>
  </si>
  <si>
    <t xml:space="preserve">      5100-99 Social Sec-Unallacated</t>
  </si>
  <si>
    <t xml:space="preserve">   Total 5100-00 Social Security Expense</t>
  </si>
  <si>
    <t xml:space="preserve">   5200-00 Medicare Expense</t>
  </si>
  <si>
    <t xml:space="preserve">      5200-01 Medicare-MRS</t>
  </si>
  <si>
    <t xml:space="preserve">      5200-02 Medicare-BSBP</t>
  </si>
  <si>
    <t xml:space="preserve">      5200-99 Medicare-Unallocated</t>
  </si>
  <si>
    <t xml:space="preserve">   Total 5200-00 Medicare Expense</t>
  </si>
  <si>
    <t xml:space="preserve">   5300-00 UIA Expense</t>
  </si>
  <si>
    <t xml:space="preserve">      5300-01 UIA-MRS</t>
  </si>
  <si>
    <t xml:space="preserve">      5300-02 UIA-BSBP</t>
  </si>
  <si>
    <t xml:space="preserve">      5300-99 UIA-Unallocated</t>
  </si>
  <si>
    <t xml:space="preserve">   Total 5300-00 UIA Expense</t>
  </si>
  <si>
    <t xml:space="preserve">   5400-00 Dental Insurance</t>
  </si>
  <si>
    <t xml:space="preserve">      5400-01 Dental-MRS</t>
  </si>
  <si>
    <t xml:space="preserve">      5400-02 Dental-BSBP</t>
  </si>
  <si>
    <t xml:space="preserve">      5400-99 Dental-Unallocated</t>
  </si>
  <si>
    <t xml:space="preserve">   Total 5400-00 Dental Insurance</t>
  </si>
  <si>
    <t xml:space="preserve">   5500-00 Health Insurance Expense</t>
  </si>
  <si>
    <t xml:space="preserve">      5500-01 Health-MRS</t>
  </si>
  <si>
    <t xml:space="preserve">      5500-02 Health-BSBP</t>
  </si>
  <si>
    <t xml:space="preserve">      5500-99 Health-Unallocated</t>
  </si>
  <si>
    <t xml:space="preserve">   Total 5500-00 Health Insurance Expense</t>
  </si>
  <si>
    <t xml:space="preserve">   5600-00 Disability/Life Expense</t>
  </si>
  <si>
    <t xml:space="preserve">      5600-01 Disability-MRS</t>
  </si>
  <si>
    <t xml:space="preserve">      5600-02 Disability-BSBP</t>
  </si>
  <si>
    <t xml:space="preserve">      5600-99 Disability-Unallocated</t>
  </si>
  <si>
    <t xml:space="preserve">   Total 5600-00 Disability/Life Expense</t>
  </si>
  <si>
    <t xml:space="preserve">   5700-00 Professional Fees</t>
  </si>
  <si>
    <t xml:space="preserve">      5700-01 Professional-MRS</t>
  </si>
  <si>
    <t xml:space="preserve">      5700-02 Professional-BSBP</t>
  </si>
  <si>
    <t xml:space="preserve">      5700-99 Professional-Unallocated</t>
  </si>
  <si>
    <t xml:space="preserve">   Total 5700-00 Professional Fees</t>
  </si>
  <si>
    <t xml:space="preserve">   5850-00 PTO</t>
  </si>
  <si>
    <t xml:space="preserve">      5850-01 PTO MRS</t>
  </si>
  <si>
    <t xml:space="preserve">      5850-02 PTO BSBP</t>
  </si>
  <si>
    <t xml:space="preserve">      5850-99 PTO Unallocated</t>
  </si>
  <si>
    <t xml:space="preserve">   Total 5850-00 PTO</t>
  </si>
  <si>
    <t xml:space="preserve">   5950-00 Retirement</t>
  </si>
  <si>
    <t xml:space="preserve">      5950-01 Retirement-MRS</t>
  </si>
  <si>
    <t xml:space="preserve">      5950-02 Retirement-BSBP</t>
  </si>
  <si>
    <t xml:space="preserve">      5950-99 Retirement-Unallocated</t>
  </si>
  <si>
    <t xml:space="preserve">   Total 5950-00 Retirement</t>
  </si>
  <si>
    <t xml:space="preserve">   6000-00 Rent Expense</t>
  </si>
  <si>
    <t xml:space="preserve">      6000-01 Rent-MRS</t>
  </si>
  <si>
    <t xml:space="preserve">      6000-02 Rent-BSBP</t>
  </si>
  <si>
    <t xml:space="preserve">      6000-99 Rent-Unallocated</t>
  </si>
  <si>
    <t xml:space="preserve">   Total 6000-00 Rent Expense</t>
  </si>
  <si>
    <t xml:space="preserve">   6100-00 Communications</t>
  </si>
  <si>
    <t xml:space="preserve">      6100-01 Communication-MRS</t>
  </si>
  <si>
    <t xml:space="preserve">      6100-02 Communication-BSBP</t>
  </si>
  <si>
    <t xml:space="preserve">      6100-99 Communication-Unallocated</t>
  </si>
  <si>
    <t xml:space="preserve">   Total 6100-00 Communications</t>
  </si>
  <si>
    <t xml:space="preserve">   6200-00 Audit</t>
  </si>
  <si>
    <t xml:space="preserve">      6200-01 Audit-MRS</t>
  </si>
  <si>
    <t xml:space="preserve">      6200-02 Audit-BSBP</t>
  </si>
  <si>
    <t xml:space="preserve">      6200-99 Audit-Unallocated</t>
  </si>
  <si>
    <t xml:space="preserve">   Total 6200-00 Audit</t>
  </si>
  <si>
    <t xml:space="preserve">   6300-00 Insurance</t>
  </si>
  <si>
    <t xml:space="preserve">      6300-01 Insurance-MRS</t>
  </si>
  <si>
    <t xml:space="preserve">      6300-02 Insurance-BSBP</t>
  </si>
  <si>
    <t xml:space="preserve">      6300-99 Insurance-Unallocated</t>
  </si>
  <si>
    <t xml:space="preserve">   Total 6300-00 Insurance</t>
  </si>
  <si>
    <t xml:space="preserve">   6400-00 Postage</t>
  </si>
  <si>
    <t xml:space="preserve">      6400-01 Postage-MRS</t>
  </si>
  <si>
    <t xml:space="preserve">      6400-02 Postage-BSBP</t>
  </si>
  <si>
    <t xml:space="preserve">      6400-99 Postage-Unallocated</t>
  </si>
  <si>
    <t xml:space="preserve">   Total 6400-00 Postage</t>
  </si>
  <si>
    <t xml:space="preserve">   6550-00 Meals</t>
  </si>
  <si>
    <t xml:space="preserve">      6550-01 Meals-MRS</t>
  </si>
  <si>
    <t xml:space="preserve">      6550-02 Meals-BSBP</t>
  </si>
  <si>
    <t xml:space="preserve">      6550-99 Meals-Unallocated</t>
  </si>
  <si>
    <t xml:space="preserve">   Total 6550-00 Meals</t>
  </si>
  <si>
    <t xml:space="preserve">   6600-00 Supplies</t>
  </si>
  <si>
    <t xml:space="preserve">      6600-01 Supplies-MRS</t>
  </si>
  <si>
    <t xml:space="preserve">      6600-02 Supplies-BSBP</t>
  </si>
  <si>
    <t xml:space="preserve">      6600-99 Supplies-Unallocated</t>
  </si>
  <si>
    <t xml:space="preserve">   Total 6600-00 Supplies</t>
  </si>
  <si>
    <t xml:space="preserve">   6700-00 Statewide Data System License</t>
  </si>
  <si>
    <t xml:space="preserve">      6700-01 Data System-MRS</t>
  </si>
  <si>
    <t xml:space="preserve">      6700-02 Data System-BSBP</t>
  </si>
  <si>
    <t xml:space="preserve">      6700-99 Data System-Unallocated</t>
  </si>
  <si>
    <t xml:space="preserve">   Total 6700-00 Statewide Data System License</t>
  </si>
  <si>
    <t xml:space="preserve">   6800-00 Accomodations</t>
  </si>
  <si>
    <t xml:space="preserve">      6800-01 Accomodations-MRS</t>
  </si>
  <si>
    <t xml:space="preserve">      6800-02 Accomodations-BSBP</t>
  </si>
  <si>
    <t xml:space="preserve">      6800-99 Accomodations-Unallocated</t>
  </si>
  <si>
    <t xml:space="preserve">   Total 6800-00 Accomodations</t>
  </si>
  <si>
    <t xml:space="preserve">   6900-00 Training</t>
  </si>
  <si>
    <t xml:space="preserve">      6900-01 Training-MRS</t>
  </si>
  <si>
    <t xml:space="preserve">      6900-02 Training-BSBP</t>
  </si>
  <si>
    <t xml:space="preserve">      6900-99 Training-Unallocated</t>
  </si>
  <si>
    <t xml:space="preserve">   Total 6900-00 Training</t>
  </si>
  <si>
    <t xml:space="preserve">   7000-00 Travel</t>
  </si>
  <si>
    <t xml:space="preserve">      7000-01 Travel-MRS</t>
  </si>
  <si>
    <t xml:space="preserve">      7000-02 Travel-BSBP</t>
  </si>
  <si>
    <t xml:space="preserve">      7000-99 Travel-Unallocated</t>
  </si>
  <si>
    <t xml:space="preserve">   Total 7000-00 Travel</t>
  </si>
  <si>
    <t xml:space="preserve">   7100-00 Council Meetings</t>
  </si>
  <si>
    <t xml:space="preserve">      7100-01 Council Meeting-MRS</t>
  </si>
  <si>
    <t xml:space="preserve">      7100-02 Council Meeting-BSBP</t>
  </si>
  <si>
    <t xml:space="preserve">      7100-99 Council Meeting-Unallocated</t>
  </si>
  <si>
    <t xml:space="preserve">   Total 7100-00 Council Meetings</t>
  </si>
  <si>
    <t xml:space="preserve">   7300-00 SPIL Support</t>
  </si>
  <si>
    <t xml:space="preserve">      7300-01 SPIL-MRS</t>
  </si>
  <si>
    <t xml:space="preserve">      7300-02 SPIL-BSBP</t>
  </si>
  <si>
    <t xml:space="preserve">      7300-99 SPIL-Unallocated</t>
  </si>
  <si>
    <t xml:space="preserve">   Total 7300-00 SPIL Support</t>
  </si>
  <si>
    <t xml:space="preserve">   7900-00 Miscellaneous</t>
  </si>
  <si>
    <t xml:space="preserve">      7900-01 Misc-MRS</t>
  </si>
  <si>
    <t xml:space="preserve">      7900-02 Misc-BSBP</t>
  </si>
  <si>
    <t xml:space="preserve">      7900-99 Misc-Unallocated</t>
  </si>
  <si>
    <t xml:space="preserve">   Total 7900-00 Miscellaneous</t>
  </si>
  <si>
    <t xml:space="preserve">   7950 Non-Federal Fund Expenses</t>
  </si>
  <si>
    <t>Total Expenditures</t>
  </si>
  <si>
    <t>Net Operating Revenue</t>
  </si>
  <si>
    <t>Net Revenue</t>
  </si>
  <si>
    <t>Tuesday, Oct 06, 2020 11:22:21 AM GMT-7 - Accrual Basis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</si>
</sst>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6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0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0" fontId="2" fillId="0" borderId="2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141"/>
  <sheetViews>
    <sheetView tabSelected="1" topLeftCell="AO1" workbookViewId="0">
      <selection activeCell="AZ6" sqref="AZ6"/>
    </sheetView>
  </sheetViews>
  <sheetFormatPr defaultRowHeight="15" x14ac:dyDescent="0.25"/>
  <cols>
    <col min="1" max="1" width="40.42578125" customWidth="1"/>
    <col min="2" max="3" width="9.42578125" customWidth="1"/>
    <col min="4" max="4" width="11.140625" customWidth="1"/>
    <col min="5" max="5" width="7.7109375" customWidth="1"/>
    <col min="6" max="6" width="10.28515625" customWidth="1"/>
    <col min="7" max="7" width="9.42578125" customWidth="1"/>
    <col min="8" max="8" width="10.28515625" customWidth="1"/>
    <col min="9" max="11" width="9.42578125" customWidth="1"/>
    <col min="12" max="12" width="10.28515625" customWidth="1"/>
    <col min="13" max="13" width="7.7109375" customWidth="1"/>
    <col min="14" max="16" width="9.42578125" customWidth="1"/>
    <col min="17" max="17" width="7.7109375" customWidth="1"/>
    <col min="18" max="23" width="9.42578125" customWidth="1"/>
    <col min="24" max="24" width="10.28515625" customWidth="1"/>
    <col min="25" max="25" width="7.7109375" customWidth="1"/>
    <col min="26" max="27" width="9.42578125" customWidth="1"/>
    <col min="28" max="28" width="11.140625" customWidth="1"/>
    <col min="29" max="29" width="7.7109375" customWidth="1"/>
    <col min="30" max="31" width="9.42578125" customWidth="1"/>
    <col min="32" max="32" width="11.140625" customWidth="1"/>
    <col min="33" max="33" width="7.7109375" customWidth="1"/>
    <col min="34" max="35" width="9.42578125" customWidth="1"/>
    <col min="36" max="36" width="10.28515625" customWidth="1"/>
    <col min="37" max="39" width="9.42578125" customWidth="1"/>
    <col min="40" max="40" width="10.28515625" customWidth="1"/>
    <col min="41" max="41" width="7.7109375" customWidth="1"/>
    <col min="42" max="43" width="9.42578125" customWidth="1"/>
    <col min="44" max="44" width="10.28515625" customWidth="1"/>
    <col min="45" max="45" width="7.7109375" customWidth="1"/>
    <col min="46" max="46" width="10.28515625" customWidth="1"/>
    <col min="47" max="47" width="9.42578125" customWidth="1"/>
    <col min="48" max="48" width="10.28515625" customWidth="1"/>
    <col min="49" max="49" width="7.7109375" customWidth="1"/>
    <col min="50" max="51" width="10.28515625" customWidth="1"/>
    <col min="52" max="52" width="12" customWidth="1"/>
    <col min="53" max="53" width="7.7109375" customWidth="1"/>
  </cols>
  <sheetData>
    <row r="1" spans="1:53" ht="18" x14ac:dyDescent="0.25">
      <c r="A1" s="13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</row>
    <row r="2" spans="1:53" ht="18" x14ac:dyDescent="0.25">
      <c r="A2" s="13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</row>
    <row r="3" spans="1:53" x14ac:dyDescent="0.25">
      <c r="A3" s="14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</row>
    <row r="5" spans="1:53" x14ac:dyDescent="0.25">
      <c r="A5" s="1"/>
      <c r="B5" s="9" t="s">
        <v>3</v>
      </c>
      <c r="C5" s="10"/>
      <c r="D5" s="10"/>
      <c r="E5" s="10"/>
      <c r="F5" s="9" t="s">
        <v>4</v>
      </c>
      <c r="G5" s="10"/>
      <c r="H5" s="10"/>
      <c r="I5" s="10"/>
      <c r="J5" s="9" t="s">
        <v>5</v>
      </c>
      <c r="K5" s="10"/>
      <c r="L5" s="10"/>
      <c r="M5" s="10"/>
      <c r="N5" s="9" t="s">
        <v>6</v>
      </c>
      <c r="O5" s="10"/>
      <c r="P5" s="10"/>
      <c r="Q5" s="10"/>
      <c r="R5" s="9" t="s">
        <v>7</v>
      </c>
      <c r="S5" s="10"/>
      <c r="T5" s="10"/>
      <c r="U5" s="10"/>
      <c r="V5" s="9" t="s">
        <v>8</v>
      </c>
      <c r="W5" s="10"/>
      <c r="X5" s="10"/>
      <c r="Y5" s="10"/>
      <c r="Z5" s="9" t="s">
        <v>9</v>
      </c>
      <c r="AA5" s="10"/>
      <c r="AB5" s="10"/>
      <c r="AC5" s="10"/>
      <c r="AD5" s="9" t="s">
        <v>10</v>
      </c>
      <c r="AE5" s="10"/>
      <c r="AF5" s="10"/>
      <c r="AG5" s="10"/>
      <c r="AH5" s="9" t="s">
        <v>11</v>
      </c>
      <c r="AI5" s="10"/>
      <c r="AJ5" s="10"/>
      <c r="AK5" s="10"/>
      <c r="AL5" s="9" t="s">
        <v>12</v>
      </c>
      <c r="AM5" s="10"/>
      <c r="AN5" s="10"/>
      <c r="AO5" s="10"/>
      <c r="AP5" s="9" t="s">
        <v>13</v>
      </c>
      <c r="AQ5" s="10"/>
      <c r="AR5" s="10"/>
      <c r="AS5" s="10"/>
      <c r="AT5" s="9" t="s">
        <v>14</v>
      </c>
      <c r="AU5" s="10"/>
      <c r="AV5" s="10"/>
      <c r="AW5" s="10"/>
      <c r="AX5" s="9" t="s">
        <v>15</v>
      </c>
      <c r="AY5" s="10"/>
      <c r="AZ5" s="10"/>
      <c r="BA5" s="10"/>
    </row>
    <row r="6" spans="1:53" ht="36" customHeight="1" x14ac:dyDescent="0.25">
      <c r="A6" s="1"/>
      <c r="B6" s="2" t="s">
        <v>16</v>
      </c>
      <c r="C6" s="2" t="s">
        <v>17</v>
      </c>
      <c r="D6" s="2" t="s">
        <v>18</v>
      </c>
      <c r="E6" s="2" t="s">
        <v>19</v>
      </c>
      <c r="F6" s="2" t="s">
        <v>16</v>
      </c>
      <c r="G6" s="2" t="s">
        <v>17</v>
      </c>
      <c r="H6" s="2" t="s">
        <v>18</v>
      </c>
      <c r="I6" s="2" t="s">
        <v>19</v>
      </c>
      <c r="J6" s="2" t="s">
        <v>16</v>
      </c>
      <c r="K6" s="2" t="s">
        <v>17</v>
      </c>
      <c r="L6" s="2" t="s">
        <v>18</v>
      </c>
      <c r="M6" s="2" t="s">
        <v>19</v>
      </c>
      <c r="N6" s="2" t="s">
        <v>16</v>
      </c>
      <c r="O6" s="2" t="s">
        <v>17</v>
      </c>
      <c r="P6" s="2" t="s">
        <v>18</v>
      </c>
      <c r="Q6" s="2" t="s">
        <v>19</v>
      </c>
      <c r="R6" s="2" t="s">
        <v>16</v>
      </c>
      <c r="S6" s="2" t="s">
        <v>17</v>
      </c>
      <c r="T6" s="2" t="s">
        <v>18</v>
      </c>
      <c r="U6" s="2" t="s">
        <v>19</v>
      </c>
      <c r="V6" s="2" t="s">
        <v>16</v>
      </c>
      <c r="W6" s="2" t="s">
        <v>17</v>
      </c>
      <c r="X6" s="2" t="s">
        <v>18</v>
      </c>
      <c r="Y6" s="2" t="s">
        <v>19</v>
      </c>
      <c r="Z6" s="2" t="s">
        <v>16</v>
      </c>
      <c r="AA6" s="2" t="s">
        <v>17</v>
      </c>
      <c r="AB6" s="2" t="s">
        <v>18</v>
      </c>
      <c r="AC6" s="2" t="s">
        <v>19</v>
      </c>
      <c r="AD6" s="2" t="s">
        <v>16</v>
      </c>
      <c r="AE6" s="2" t="s">
        <v>17</v>
      </c>
      <c r="AF6" s="2" t="s">
        <v>18</v>
      </c>
      <c r="AG6" s="2" t="s">
        <v>19</v>
      </c>
      <c r="AH6" s="2" t="s">
        <v>16</v>
      </c>
      <c r="AI6" s="2" t="s">
        <v>17</v>
      </c>
      <c r="AJ6" s="2" t="s">
        <v>18</v>
      </c>
      <c r="AK6" s="2" t="s">
        <v>19</v>
      </c>
      <c r="AL6" s="2" t="s">
        <v>16</v>
      </c>
      <c r="AM6" s="2" t="s">
        <v>17</v>
      </c>
      <c r="AN6" s="2" t="s">
        <v>18</v>
      </c>
      <c r="AO6" s="2" t="s">
        <v>19</v>
      </c>
      <c r="AP6" s="2" t="s">
        <v>16</v>
      </c>
      <c r="AQ6" s="2" t="s">
        <v>17</v>
      </c>
      <c r="AR6" s="2" t="s">
        <v>18</v>
      </c>
      <c r="AS6" s="2" t="s">
        <v>19</v>
      </c>
      <c r="AT6" s="2" t="s">
        <v>16</v>
      </c>
      <c r="AU6" s="2" t="s">
        <v>17</v>
      </c>
      <c r="AV6" s="2" t="s">
        <v>18</v>
      </c>
      <c r="AW6" s="2" t="s">
        <v>19</v>
      </c>
      <c r="AX6" s="2" t="s">
        <v>16</v>
      </c>
      <c r="AY6" s="2" t="s">
        <v>17</v>
      </c>
      <c r="AZ6" s="2" t="s">
        <v>18</v>
      </c>
      <c r="BA6" s="2" t="s">
        <v>19</v>
      </c>
    </row>
    <row r="7" spans="1:53" x14ac:dyDescent="0.25">
      <c r="A7" s="3" t="s">
        <v>20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</row>
    <row r="8" spans="1:53" x14ac:dyDescent="0.25">
      <c r="A8" s="3" t="s">
        <v>21</v>
      </c>
      <c r="B8" s="5">
        <f>12064</f>
        <v>12064</v>
      </c>
      <c r="C8" s="5">
        <f>17236.82</f>
        <v>17236.82</v>
      </c>
      <c r="D8" s="5">
        <f>(B8)-(C8)</f>
        <v>-5172.82</v>
      </c>
      <c r="E8" s="6">
        <f>IF(C8=0,"",(B8)/(C8))</f>
        <v>0.69989708078404256</v>
      </c>
      <c r="F8" s="5">
        <f>23133</f>
        <v>23133</v>
      </c>
      <c r="G8" s="5">
        <f>17236.82</f>
        <v>17236.82</v>
      </c>
      <c r="H8" s="5">
        <f>(F8)-(G8)</f>
        <v>5896.18</v>
      </c>
      <c r="I8" s="6">
        <f>IF(G8=0,"",(F8)/(G8))</f>
        <v>1.3420688966990431</v>
      </c>
      <c r="J8" s="5">
        <f>12175.35</f>
        <v>12175.35</v>
      </c>
      <c r="K8" s="5">
        <f>17236.82</f>
        <v>17236.82</v>
      </c>
      <c r="L8" s="5">
        <f>(J8)-(K8)</f>
        <v>-5061.4699999999993</v>
      </c>
      <c r="M8" s="6">
        <f>IF(K8=0,"",(J8)/(K8))</f>
        <v>0.70635708906863337</v>
      </c>
      <c r="N8" s="5">
        <f>22353.71</f>
        <v>22353.71</v>
      </c>
      <c r="O8" s="5">
        <f>17236.82</f>
        <v>17236.82</v>
      </c>
      <c r="P8" s="5">
        <f>(N8)-(O8)</f>
        <v>5116.8899999999994</v>
      </c>
      <c r="Q8" s="6">
        <f>IF(O8=0,"",(N8)/(O8))</f>
        <v>1.29685812116156</v>
      </c>
      <c r="R8" s="5">
        <f>18166.16</f>
        <v>18166.16</v>
      </c>
      <c r="S8" s="5">
        <f>17236.82</f>
        <v>17236.82</v>
      </c>
      <c r="T8" s="5">
        <f>(R8)-(S8)</f>
        <v>929.34000000000015</v>
      </c>
      <c r="U8" s="6">
        <f>IF(S8=0,"",(R8)/(S8))</f>
        <v>1.0539159775411009</v>
      </c>
      <c r="V8" s="5">
        <f>14295.82</f>
        <v>14295.82</v>
      </c>
      <c r="W8" s="5">
        <f>17236.82</f>
        <v>17236.82</v>
      </c>
      <c r="X8" s="5">
        <f>(V8)-(W8)</f>
        <v>-2941</v>
      </c>
      <c r="Y8" s="6">
        <f>IF(W8=0,"",(V8)/(W8))</f>
        <v>0.82937688042225888</v>
      </c>
      <c r="Z8" s="5">
        <f>10206.48</f>
        <v>10206.48</v>
      </c>
      <c r="AA8" s="5">
        <f>17236.82</f>
        <v>17236.82</v>
      </c>
      <c r="AB8" s="5">
        <f>(Z8)-(AA8)</f>
        <v>-7030.34</v>
      </c>
      <c r="AC8" s="6">
        <f>IF(AA8=0,"",(Z8)/(AA8))</f>
        <v>0.59213242349806983</v>
      </c>
      <c r="AD8" s="5">
        <f>10163.17</f>
        <v>10163.17</v>
      </c>
      <c r="AE8" s="5">
        <f>17236.82</f>
        <v>17236.82</v>
      </c>
      <c r="AF8" s="5">
        <f>(AD8)-(AE8)</f>
        <v>-7073.65</v>
      </c>
      <c r="AG8" s="6">
        <f>IF(AE8=0,"",(AD8)/(AE8))</f>
        <v>0.58961977905437313</v>
      </c>
      <c r="AH8" s="5">
        <f>11879.99</f>
        <v>11879.99</v>
      </c>
      <c r="AI8" s="5">
        <f>17236.82</f>
        <v>17236.82</v>
      </c>
      <c r="AJ8" s="5">
        <f>(AH8)-(AI8)</f>
        <v>-5356.83</v>
      </c>
      <c r="AK8" s="6">
        <f>IF(AI8=0,"",(AH8)/(AI8))</f>
        <v>0.68922167778047227</v>
      </c>
      <c r="AL8" s="5">
        <f>14336.38</f>
        <v>14336.38</v>
      </c>
      <c r="AM8" s="5">
        <f>17236.82</f>
        <v>17236.82</v>
      </c>
      <c r="AN8" s="5">
        <f>(AL8)-(AM8)</f>
        <v>-2900.4400000000005</v>
      </c>
      <c r="AO8" s="6">
        <f>IF(AM8=0,"",(AL8)/(AM8))</f>
        <v>0.83172998267661902</v>
      </c>
      <c r="AP8" s="5">
        <f>10882.88</f>
        <v>10882.88</v>
      </c>
      <c r="AQ8" s="5">
        <f>17236.82</f>
        <v>17236.82</v>
      </c>
      <c r="AR8" s="5">
        <f>(AP8)-(AQ8)</f>
        <v>-6353.9400000000005</v>
      </c>
      <c r="AS8" s="6">
        <f>IF(AQ8=0,"",(AP8)/(AQ8))</f>
        <v>0.63137400054070292</v>
      </c>
      <c r="AT8" s="5">
        <f>16661.19</f>
        <v>16661.189999999999</v>
      </c>
      <c r="AU8" s="5">
        <f>17236.82</f>
        <v>17236.82</v>
      </c>
      <c r="AV8" s="5">
        <f>(AT8)-(AU8)</f>
        <v>-575.63000000000102</v>
      </c>
      <c r="AW8" s="6">
        <f>IF(AU8=0,"",(AT8)/(AU8))</f>
        <v>0.96660462892807364</v>
      </c>
      <c r="AX8" s="5">
        <f t="shared" ref="AX8:AY12" si="0">(((((((((((B8)+(F8))+(J8))+(N8))+(R8))+(V8))+(Z8))+(AD8))+(AH8))+(AL8))+(AP8))+(AT8)</f>
        <v>176318.13</v>
      </c>
      <c r="AY8" s="5">
        <f t="shared" si="0"/>
        <v>206841.84000000005</v>
      </c>
      <c r="AZ8" s="5">
        <f>(AX8)-(AY8)</f>
        <v>-30523.71000000005</v>
      </c>
      <c r="BA8" s="6">
        <f>IF(AY8=0,"",(AX8)/(AY8))</f>
        <v>0.85242971151291225</v>
      </c>
    </row>
    <row r="9" spans="1:53" x14ac:dyDescent="0.25">
      <c r="A9" s="3" t="s">
        <v>22</v>
      </c>
      <c r="B9" s="5">
        <f>3245.15</f>
        <v>3245.15</v>
      </c>
      <c r="C9" s="5">
        <f>9281.36</f>
        <v>9281.36</v>
      </c>
      <c r="D9" s="5">
        <f>(B9)-(C9)</f>
        <v>-6036.2100000000009</v>
      </c>
      <c r="E9" s="6">
        <f>IF(C9=0,"",(B9)/(C9))</f>
        <v>0.34964164734478564</v>
      </c>
      <c r="F9" s="5">
        <f>6489.85</f>
        <v>6489.85</v>
      </c>
      <c r="G9" s="5">
        <f>9281.36</f>
        <v>9281.36</v>
      </c>
      <c r="H9" s="5">
        <f>(F9)-(G9)</f>
        <v>-2791.51</v>
      </c>
      <c r="I9" s="6">
        <f>IF(G9=0,"",(F9)/(G9))</f>
        <v>0.69923481041571489</v>
      </c>
      <c r="J9" s="5">
        <f>12617.47</f>
        <v>12617.47</v>
      </c>
      <c r="K9" s="5">
        <f>9281.36</f>
        <v>9281.36</v>
      </c>
      <c r="L9" s="5">
        <f>(J9)-(K9)</f>
        <v>3336.1099999999988</v>
      </c>
      <c r="M9" s="6">
        <f>IF(K9=0,"",(J9)/(K9))</f>
        <v>1.3594419352336293</v>
      </c>
      <c r="N9" s="5">
        <f>12036.6</f>
        <v>12036.6</v>
      </c>
      <c r="O9" s="5">
        <f>9281.36</f>
        <v>9281.36</v>
      </c>
      <c r="P9" s="5">
        <f>(N9)-(O9)</f>
        <v>2755.24</v>
      </c>
      <c r="Q9" s="6">
        <f>IF(O9=0,"",(N9)/(O9))</f>
        <v>1.2968573571114577</v>
      </c>
      <c r="R9" s="5">
        <f>9782</f>
        <v>9782</v>
      </c>
      <c r="S9" s="5">
        <f>9281.36</f>
        <v>9281.36</v>
      </c>
      <c r="T9" s="5">
        <f>(R9)-(S9)</f>
        <v>500.63999999999942</v>
      </c>
      <c r="U9" s="6">
        <f>IF(S9=0,"",(R9)/(S9))</f>
        <v>1.0539403708077264</v>
      </c>
      <c r="V9" s="5">
        <f>7698</f>
        <v>7698</v>
      </c>
      <c r="W9" s="5">
        <f>9281.36</f>
        <v>9281.36</v>
      </c>
      <c r="X9" s="5">
        <f>(V9)-(W9)</f>
        <v>-1583.3600000000006</v>
      </c>
      <c r="Y9" s="6">
        <f>IF(W9=0,"",(V9)/(W9))</f>
        <v>0.8294043114371169</v>
      </c>
      <c r="Z9" s="5">
        <f>5496</f>
        <v>5496</v>
      </c>
      <c r="AA9" s="5">
        <f>9281.36</f>
        <v>9281.36</v>
      </c>
      <c r="AB9" s="5">
        <f>(Z9)-(AA9)</f>
        <v>-3785.3600000000006</v>
      </c>
      <c r="AC9" s="6">
        <f>IF(AA9=0,"",(Z9)/(AA9))</f>
        <v>0.59215459803304682</v>
      </c>
      <c r="AD9" s="5">
        <f>5472.49</f>
        <v>5472.49</v>
      </c>
      <c r="AE9" s="5">
        <f>9281.36</f>
        <v>9281.36</v>
      </c>
      <c r="AF9" s="5">
        <f>(AD9)-(AE9)</f>
        <v>-3808.8700000000008</v>
      </c>
      <c r="AG9" s="6">
        <f>IF(AE9=0,"",(AD9)/(AE9))</f>
        <v>0.58962156408112598</v>
      </c>
      <c r="AH9" s="5">
        <f>6396.94</f>
        <v>6396.94</v>
      </c>
      <c r="AI9" s="5">
        <f>9281.36</f>
        <v>9281.36</v>
      </c>
      <c r="AJ9" s="5">
        <f>(AH9)-(AI9)</f>
        <v>-2884.420000000001</v>
      </c>
      <c r="AK9" s="6">
        <f>IF(AI9=0,"",(AH9)/(AI9))</f>
        <v>0.68922442400682649</v>
      </c>
      <c r="AL9" s="5">
        <f>7719.56</f>
        <v>7719.56</v>
      </c>
      <c r="AM9" s="5">
        <f>9281.36</f>
        <v>9281.36</v>
      </c>
      <c r="AN9" s="5">
        <f>(AL9)-(AM9)</f>
        <v>-1561.8000000000002</v>
      </c>
      <c r="AO9" s="6">
        <f>IF(AM9=0,"",(AL9)/(AM9))</f>
        <v>0.83172724686899335</v>
      </c>
      <c r="AP9" s="5">
        <f>5860.01</f>
        <v>5860.01</v>
      </c>
      <c r="AQ9" s="5">
        <f>9281.36</f>
        <v>9281.36</v>
      </c>
      <c r="AR9" s="5">
        <f>(AP9)-(AQ9)</f>
        <v>-3421.3500000000004</v>
      </c>
      <c r="AS9" s="6">
        <f>IF(AQ9=0,"",(AP9)/(AQ9))</f>
        <v>0.63137406586965705</v>
      </c>
      <c r="AT9" s="5">
        <f>9194.17</f>
        <v>9194.17</v>
      </c>
      <c r="AU9" s="5">
        <f>9281.36</f>
        <v>9281.36</v>
      </c>
      <c r="AV9" s="5">
        <f>(AT9)-(AU9)</f>
        <v>-87.190000000000509</v>
      </c>
      <c r="AW9" s="6">
        <f>IF(AU9=0,"",(AT9)/(AU9))</f>
        <v>0.9906059025832421</v>
      </c>
      <c r="AX9" s="5">
        <f t="shared" si="0"/>
        <v>92008.239999999991</v>
      </c>
      <c r="AY9" s="5">
        <f t="shared" si="0"/>
        <v>111376.32000000001</v>
      </c>
      <c r="AZ9" s="5">
        <f>(AX9)-(AY9)</f>
        <v>-19368.080000000016</v>
      </c>
      <c r="BA9" s="6">
        <f>IF(AY9=0,"",(AX9)/(AY9))</f>
        <v>0.82610235281611011</v>
      </c>
    </row>
    <row r="10" spans="1:53" x14ac:dyDescent="0.25">
      <c r="A10" s="3" t="s">
        <v>23</v>
      </c>
      <c r="B10" s="5">
        <f>16.93</f>
        <v>16.93</v>
      </c>
      <c r="C10" s="4"/>
      <c r="D10" s="5">
        <f>(B10)-(C10)</f>
        <v>16.93</v>
      </c>
      <c r="E10" s="6" t="str">
        <f>IF(C10=0,"",(B10)/(C10))</f>
        <v/>
      </c>
      <c r="F10" s="5">
        <f>10.4</f>
        <v>10.4</v>
      </c>
      <c r="G10" s="4"/>
      <c r="H10" s="5">
        <f>(F10)-(G10)</f>
        <v>10.4</v>
      </c>
      <c r="I10" s="6" t="str">
        <f>IF(G10=0,"",(F10)/(G10))</f>
        <v/>
      </c>
      <c r="J10" s="5">
        <f>13.75</f>
        <v>13.75</v>
      </c>
      <c r="K10" s="4"/>
      <c r="L10" s="5">
        <f>(J10)-(K10)</f>
        <v>13.75</v>
      </c>
      <c r="M10" s="6" t="str">
        <f>IF(K10=0,"",(J10)/(K10))</f>
        <v/>
      </c>
      <c r="N10" s="5">
        <f>13.23</f>
        <v>13.23</v>
      </c>
      <c r="O10" s="4"/>
      <c r="P10" s="5">
        <f>(N10)-(O10)</f>
        <v>13.23</v>
      </c>
      <c r="Q10" s="6" t="str">
        <f>IF(O10=0,"",(N10)/(O10))</f>
        <v/>
      </c>
      <c r="R10" s="5">
        <f>11.94</f>
        <v>11.94</v>
      </c>
      <c r="S10" s="4"/>
      <c r="T10" s="5">
        <f>(R10)-(S10)</f>
        <v>11.94</v>
      </c>
      <c r="U10" s="6" t="str">
        <f>IF(S10=0,"",(R10)/(S10))</f>
        <v/>
      </c>
      <c r="V10" s="5">
        <f>14.91</f>
        <v>14.91</v>
      </c>
      <c r="W10" s="4"/>
      <c r="X10" s="5">
        <f>(V10)-(W10)</f>
        <v>14.91</v>
      </c>
      <c r="Y10" s="6" t="str">
        <f>IF(W10=0,"",(V10)/(W10))</f>
        <v/>
      </c>
      <c r="Z10" s="5">
        <f>13.92</f>
        <v>13.92</v>
      </c>
      <c r="AA10" s="4"/>
      <c r="AB10" s="5">
        <f>(Z10)-(AA10)</f>
        <v>13.92</v>
      </c>
      <c r="AC10" s="6" t="str">
        <f>IF(AA10=0,"",(Z10)/(AA10))</f>
        <v/>
      </c>
      <c r="AD10" s="5">
        <f>13.73</f>
        <v>13.73</v>
      </c>
      <c r="AE10" s="4"/>
      <c r="AF10" s="5">
        <f>(AD10)-(AE10)</f>
        <v>13.73</v>
      </c>
      <c r="AG10" s="6" t="str">
        <f>IF(AE10=0,"",(AD10)/(AE10))</f>
        <v/>
      </c>
      <c r="AH10" s="5">
        <f>14.76</f>
        <v>14.76</v>
      </c>
      <c r="AI10" s="4"/>
      <c r="AJ10" s="5">
        <f>(AH10)-(AI10)</f>
        <v>14.76</v>
      </c>
      <c r="AK10" s="6" t="str">
        <f>IF(AI10=0,"",(AH10)/(AI10))</f>
        <v/>
      </c>
      <c r="AL10" s="5">
        <f>12.23</f>
        <v>12.23</v>
      </c>
      <c r="AM10" s="4"/>
      <c r="AN10" s="5">
        <f>(AL10)-(AM10)</f>
        <v>12.23</v>
      </c>
      <c r="AO10" s="6" t="str">
        <f>IF(AM10=0,"",(AL10)/(AM10))</f>
        <v/>
      </c>
      <c r="AP10" s="5">
        <f>11.85</f>
        <v>11.85</v>
      </c>
      <c r="AQ10" s="4"/>
      <c r="AR10" s="5">
        <f>(AP10)-(AQ10)</f>
        <v>11.85</v>
      </c>
      <c r="AS10" s="6" t="str">
        <f>IF(AQ10=0,"",(AP10)/(AQ10))</f>
        <v/>
      </c>
      <c r="AT10" s="5">
        <f>12.47</f>
        <v>12.47</v>
      </c>
      <c r="AU10" s="4"/>
      <c r="AV10" s="5">
        <f>(AT10)-(AU10)</f>
        <v>12.47</v>
      </c>
      <c r="AW10" s="6" t="str">
        <f>IF(AU10=0,"",(AT10)/(AU10))</f>
        <v/>
      </c>
      <c r="AX10" s="5">
        <f t="shared" si="0"/>
        <v>160.12</v>
      </c>
      <c r="AY10" s="5">
        <f t="shared" si="0"/>
        <v>0</v>
      </c>
      <c r="AZ10" s="5">
        <f>(AX10)-(AY10)</f>
        <v>160.12</v>
      </c>
      <c r="BA10" s="6" t="str">
        <f>IF(AY10=0,"",(AX10)/(AY10))</f>
        <v/>
      </c>
    </row>
    <row r="11" spans="1:53" x14ac:dyDescent="0.25">
      <c r="A11" s="3" t="s">
        <v>24</v>
      </c>
      <c r="B11" s="7">
        <f>((B8)+(B9))+(B10)</f>
        <v>15326.08</v>
      </c>
      <c r="C11" s="7">
        <f>((C8)+(C9))+(C10)</f>
        <v>26518.18</v>
      </c>
      <c r="D11" s="7">
        <f>(B11)-(C11)</f>
        <v>-11192.1</v>
      </c>
      <c r="E11" s="8">
        <f>IF(C11=0,"",(B11)/(C11))</f>
        <v>0.57794614864217675</v>
      </c>
      <c r="F11" s="7">
        <f>((F8)+(F9))+(F10)</f>
        <v>29633.25</v>
      </c>
      <c r="G11" s="7">
        <f>((G8)+(G9))+(G10)</f>
        <v>26518.18</v>
      </c>
      <c r="H11" s="7">
        <f>(F11)-(G11)</f>
        <v>3115.0699999999997</v>
      </c>
      <c r="I11" s="8">
        <f>IF(G11=0,"",(F11)/(G11))</f>
        <v>1.1174692230009751</v>
      </c>
      <c r="J11" s="7">
        <f>((J8)+(J9))+(J10)</f>
        <v>24806.57</v>
      </c>
      <c r="K11" s="7">
        <f>((K8)+(K9))+(K10)</f>
        <v>26518.18</v>
      </c>
      <c r="L11" s="7">
        <f>(J11)-(K11)</f>
        <v>-1711.6100000000006</v>
      </c>
      <c r="M11" s="8">
        <f>IF(K11=0,"",(J11)/(K11))</f>
        <v>0.93545522354852406</v>
      </c>
      <c r="N11" s="7">
        <f>((N8)+(N9))+(N10)</f>
        <v>34403.54</v>
      </c>
      <c r="O11" s="7">
        <f>((O8)+(O9))+(O10)</f>
        <v>26518.18</v>
      </c>
      <c r="P11" s="7">
        <f>(N11)-(O11)</f>
        <v>7885.3600000000006</v>
      </c>
      <c r="Q11" s="8">
        <f>IF(O11=0,"",(N11)/(O11))</f>
        <v>1.2973567567608335</v>
      </c>
      <c r="R11" s="7">
        <f>((R8)+(R9))+(R10)</f>
        <v>27960.1</v>
      </c>
      <c r="S11" s="7">
        <f>((S8)+(S9))+(S10)</f>
        <v>26518.18</v>
      </c>
      <c r="T11" s="7">
        <f>(R11)-(S11)</f>
        <v>1441.9199999999983</v>
      </c>
      <c r="U11" s="8">
        <f>IF(S11=0,"",(R11)/(S11))</f>
        <v>1.0543747723260042</v>
      </c>
      <c r="V11" s="7">
        <f>((V8)+(V9))+(V10)</f>
        <v>22008.73</v>
      </c>
      <c r="W11" s="7">
        <f>((W8)+(W9))+(W10)</f>
        <v>26518.18</v>
      </c>
      <c r="X11" s="7">
        <f>(V11)-(W11)</f>
        <v>-4509.4500000000007</v>
      </c>
      <c r="Y11" s="8">
        <f>IF(W11=0,"",(V11)/(W11))</f>
        <v>0.82994873705510708</v>
      </c>
      <c r="Z11" s="7">
        <f>((Z8)+(Z9))+(Z10)</f>
        <v>15716.4</v>
      </c>
      <c r="AA11" s="7">
        <f>((AA8)+(AA9))+(AA10)</f>
        <v>26518.18</v>
      </c>
      <c r="AB11" s="7">
        <f>(Z11)-(AA11)</f>
        <v>-10801.78</v>
      </c>
      <c r="AC11" s="8">
        <f>IF(AA11=0,"",(Z11)/(AA11))</f>
        <v>0.59266510748475199</v>
      </c>
      <c r="AD11" s="7">
        <f>((AD8)+(AD9))+(AD10)</f>
        <v>15649.39</v>
      </c>
      <c r="AE11" s="7">
        <f>((AE8)+(AE9))+(AE10)</f>
        <v>26518.18</v>
      </c>
      <c r="AF11" s="7">
        <f>(AD11)-(AE11)</f>
        <v>-10868.79</v>
      </c>
      <c r="AG11" s="8">
        <f>IF(AE11=0,"",(AD11)/(AE11))</f>
        <v>0.5901381618195517</v>
      </c>
      <c r="AH11" s="7">
        <f>((AH8)+(AH9))+(AH10)</f>
        <v>18291.689999999999</v>
      </c>
      <c r="AI11" s="7">
        <f>((AI8)+(AI9))+(AI10)</f>
        <v>26518.18</v>
      </c>
      <c r="AJ11" s="7">
        <f>(AH11)-(AI11)</f>
        <v>-8226.4900000000016</v>
      </c>
      <c r="AK11" s="8">
        <f>IF(AI11=0,"",(AH11)/(AI11))</f>
        <v>0.68977923824334841</v>
      </c>
      <c r="AL11" s="7">
        <f>((AL8)+(AL9))+(AL10)</f>
        <v>22068.17</v>
      </c>
      <c r="AM11" s="7">
        <f>((AM8)+(AM9))+(AM10)</f>
        <v>26518.18</v>
      </c>
      <c r="AN11" s="7">
        <f>(AL11)-(AM11)</f>
        <v>-4450.010000000002</v>
      </c>
      <c r="AO11" s="8">
        <f>IF(AM11=0,"",(AL11)/(AM11))</f>
        <v>0.83219021818239403</v>
      </c>
      <c r="AP11" s="7">
        <f>((AP8)+(AP9))+(AP10)</f>
        <v>16754.739999999998</v>
      </c>
      <c r="AQ11" s="7">
        <f>((AQ8)+(AQ9))+(AQ10)</f>
        <v>26518.18</v>
      </c>
      <c r="AR11" s="7">
        <f>(AP11)-(AQ11)</f>
        <v>-9763.4400000000023</v>
      </c>
      <c r="AS11" s="8">
        <f>IF(AQ11=0,"",(AP11)/(AQ11))</f>
        <v>0.63182088665210046</v>
      </c>
      <c r="AT11" s="7">
        <f>((AT8)+(AT9))+(AT10)</f>
        <v>25867.83</v>
      </c>
      <c r="AU11" s="7">
        <f>((AU8)+(AU9))+(AU10)</f>
        <v>26518.18</v>
      </c>
      <c r="AV11" s="7">
        <f>(AT11)-(AU11)</f>
        <v>-650.34999999999854</v>
      </c>
      <c r="AW11" s="8">
        <f>IF(AU11=0,"",(AT11)/(AU11))</f>
        <v>0.97547531542511601</v>
      </c>
      <c r="AX11" s="7">
        <f t="shared" si="0"/>
        <v>268486.49</v>
      </c>
      <c r="AY11" s="7">
        <f t="shared" si="0"/>
        <v>318218.15999999997</v>
      </c>
      <c r="AZ11" s="7">
        <f>(AX11)-(AY11)</f>
        <v>-49731.669999999984</v>
      </c>
      <c r="BA11" s="8">
        <f>IF(AY11=0,"",(AX11)/(AY11))</f>
        <v>0.84371831576174039</v>
      </c>
    </row>
    <row r="12" spans="1:53" x14ac:dyDescent="0.25">
      <c r="A12" s="3" t="s">
        <v>25</v>
      </c>
      <c r="B12" s="7">
        <f>(B11)-(0)</f>
        <v>15326.08</v>
      </c>
      <c r="C12" s="7">
        <f>(C11)-(0)</f>
        <v>26518.18</v>
      </c>
      <c r="D12" s="7">
        <f>(B12)-(C12)</f>
        <v>-11192.1</v>
      </c>
      <c r="E12" s="8">
        <f>IF(C12=0,"",(B12)/(C12))</f>
        <v>0.57794614864217675</v>
      </c>
      <c r="F12" s="7">
        <f>(F11)-(0)</f>
        <v>29633.25</v>
      </c>
      <c r="G12" s="7">
        <f>(G11)-(0)</f>
        <v>26518.18</v>
      </c>
      <c r="H12" s="7">
        <f>(F12)-(G12)</f>
        <v>3115.0699999999997</v>
      </c>
      <c r="I12" s="8">
        <f>IF(G12=0,"",(F12)/(G12))</f>
        <v>1.1174692230009751</v>
      </c>
      <c r="J12" s="7">
        <f>(J11)-(0)</f>
        <v>24806.57</v>
      </c>
      <c r="K12" s="7">
        <f>(K11)-(0)</f>
        <v>26518.18</v>
      </c>
      <c r="L12" s="7">
        <f>(J12)-(K12)</f>
        <v>-1711.6100000000006</v>
      </c>
      <c r="M12" s="8">
        <f>IF(K12=0,"",(J12)/(K12))</f>
        <v>0.93545522354852406</v>
      </c>
      <c r="N12" s="7">
        <f>(N11)-(0)</f>
        <v>34403.54</v>
      </c>
      <c r="O12" s="7">
        <f>(O11)-(0)</f>
        <v>26518.18</v>
      </c>
      <c r="P12" s="7">
        <f>(N12)-(O12)</f>
        <v>7885.3600000000006</v>
      </c>
      <c r="Q12" s="8">
        <f>IF(O12=0,"",(N12)/(O12))</f>
        <v>1.2973567567608335</v>
      </c>
      <c r="R12" s="7">
        <f>(R11)-(0)</f>
        <v>27960.1</v>
      </c>
      <c r="S12" s="7">
        <f>(S11)-(0)</f>
        <v>26518.18</v>
      </c>
      <c r="T12" s="7">
        <f>(R12)-(S12)</f>
        <v>1441.9199999999983</v>
      </c>
      <c r="U12" s="8">
        <f>IF(S12=0,"",(R12)/(S12))</f>
        <v>1.0543747723260042</v>
      </c>
      <c r="V12" s="7">
        <f>(V11)-(0)</f>
        <v>22008.73</v>
      </c>
      <c r="W12" s="7">
        <f>(W11)-(0)</f>
        <v>26518.18</v>
      </c>
      <c r="X12" s="7">
        <f>(V12)-(W12)</f>
        <v>-4509.4500000000007</v>
      </c>
      <c r="Y12" s="8">
        <f>IF(W12=0,"",(V12)/(W12))</f>
        <v>0.82994873705510708</v>
      </c>
      <c r="Z12" s="7">
        <f>(Z11)-(0)</f>
        <v>15716.4</v>
      </c>
      <c r="AA12" s="7">
        <f>(AA11)-(0)</f>
        <v>26518.18</v>
      </c>
      <c r="AB12" s="7">
        <f>(Z12)-(AA12)</f>
        <v>-10801.78</v>
      </c>
      <c r="AC12" s="8">
        <f>IF(AA12=0,"",(Z12)/(AA12))</f>
        <v>0.59266510748475199</v>
      </c>
      <c r="AD12" s="7">
        <f>(AD11)-(0)</f>
        <v>15649.39</v>
      </c>
      <c r="AE12" s="7">
        <f>(AE11)-(0)</f>
        <v>26518.18</v>
      </c>
      <c r="AF12" s="7">
        <f>(AD12)-(AE12)</f>
        <v>-10868.79</v>
      </c>
      <c r="AG12" s="8">
        <f>IF(AE12=0,"",(AD12)/(AE12))</f>
        <v>0.5901381618195517</v>
      </c>
      <c r="AH12" s="7">
        <f>(AH11)-(0)</f>
        <v>18291.689999999999</v>
      </c>
      <c r="AI12" s="7">
        <f>(AI11)-(0)</f>
        <v>26518.18</v>
      </c>
      <c r="AJ12" s="7">
        <f>(AH12)-(AI12)</f>
        <v>-8226.4900000000016</v>
      </c>
      <c r="AK12" s="8">
        <f>IF(AI12=0,"",(AH12)/(AI12))</f>
        <v>0.68977923824334841</v>
      </c>
      <c r="AL12" s="7">
        <f>(AL11)-(0)</f>
        <v>22068.17</v>
      </c>
      <c r="AM12" s="7">
        <f>(AM11)-(0)</f>
        <v>26518.18</v>
      </c>
      <c r="AN12" s="7">
        <f>(AL12)-(AM12)</f>
        <v>-4450.010000000002</v>
      </c>
      <c r="AO12" s="8">
        <f>IF(AM12=0,"",(AL12)/(AM12))</f>
        <v>0.83219021818239403</v>
      </c>
      <c r="AP12" s="7">
        <f>(AP11)-(0)</f>
        <v>16754.739999999998</v>
      </c>
      <c r="AQ12" s="7">
        <f>(AQ11)-(0)</f>
        <v>26518.18</v>
      </c>
      <c r="AR12" s="7">
        <f>(AP12)-(AQ12)</f>
        <v>-9763.4400000000023</v>
      </c>
      <c r="AS12" s="8">
        <f>IF(AQ12=0,"",(AP12)/(AQ12))</f>
        <v>0.63182088665210046</v>
      </c>
      <c r="AT12" s="7">
        <f>(AT11)-(0)</f>
        <v>25867.83</v>
      </c>
      <c r="AU12" s="7">
        <f>(AU11)-(0)</f>
        <v>26518.18</v>
      </c>
      <c r="AV12" s="7">
        <f>(AT12)-(AU12)</f>
        <v>-650.34999999999854</v>
      </c>
      <c r="AW12" s="8">
        <f>IF(AU12=0,"",(AT12)/(AU12))</f>
        <v>0.97547531542511601</v>
      </c>
      <c r="AX12" s="7">
        <f t="shared" si="0"/>
        <v>268486.49</v>
      </c>
      <c r="AY12" s="7">
        <f t="shared" si="0"/>
        <v>318218.15999999997</v>
      </c>
      <c r="AZ12" s="7">
        <f>(AX12)-(AY12)</f>
        <v>-49731.669999999984</v>
      </c>
      <c r="BA12" s="8">
        <f>IF(AY12=0,"",(AX12)/(AY12))</f>
        <v>0.84371831576174039</v>
      </c>
    </row>
    <row r="13" spans="1:53" x14ac:dyDescent="0.25">
      <c r="A13" s="3" t="s">
        <v>26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</row>
    <row r="14" spans="1:53" x14ac:dyDescent="0.25">
      <c r="A14" s="3" t="s">
        <v>27</v>
      </c>
      <c r="B14" s="4"/>
      <c r="C14" s="5">
        <f>11833.5</f>
        <v>11833.5</v>
      </c>
      <c r="D14" s="5">
        <f t="shared" ref="D14:D45" si="1">(B14)-(C14)</f>
        <v>-11833.5</v>
      </c>
      <c r="E14" s="6">
        <f t="shared" ref="E14:E45" si="2">IF(C14=0,"",(B14)/(C14))</f>
        <v>0</v>
      </c>
      <c r="F14" s="4"/>
      <c r="G14" s="5">
        <f>11833.5</f>
        <v>11833.5</v>
      </c>
      <c r="H14" s="5">
        <f t="shared" ref="H14:H45" si="3">(F14)-(G14)</f>
        <v>-11833.5</v>
      </c>
      <c r="I14" s="6">
        <f t="shared" ref="I14:I45" si="4">IF(G14=0,"",(F14)/(G14))</f>
        <v>0</v>
      </c>
      <c r="J14" s="4"/>
      <c r="K14" s="5">
        <f>11833.5</f>
        <v>11833.5</v>
      </c>
      <c r="L14" s="5">
        <f t="shared" ref="L14:L45" si="5">(J14)-(K14)</f>
        <v>-11833.5</v>
      </c>
      <c r="M14" s="6">
        <f t="shared" ref="M14:M45" si="6">IF(K14=0,"",(J14)/(K14))</f>
        <v>0</v>
      </c>
      <c r="N14" s="4"/>
      <c r="O14" s="5">
        <f>11833.5</f>
        <v>11833.5</v>
      </c>
      <c r="P14" s="5">
        <f t="shared" ref="P14:P45" si="7">(N14)-(O14)</f>
        <v>-11833.5</v>
      </c>
      <c r="Q14" s="6">
        <f t="shared" ref="Q14:Q45" si="8">IF(O14=0,"",(N14)/(O14))</f>
        <v>0</v>
      </c>
      <c r="R14" s="4"/>
      <c r="S14" s="5">
        <f>11833.5</f>
        <v>11833.5</v>
      </c>
      <c r="T14" s="5">
        <f t="shared" ref="T14:T45" si="9">(R14)-(S14)</f>
        <v>-11833.5</v>
      </c>
      <c r="U14" s="6">
        <f t="shared" ref="U14:U45" si="10">IF(S14=0,"",(R14)/(S14))</f>
        <v>0</v>
      </c>
      <c r="V14" s="4"/>
      <c r="W14" s="5">
        <f>11833.5</f>
        <v>11833.5</v>
      </c>
      <c r="X14" s="5">
        <f t="shared" ref="X14:X45" si="11">(V14)-(W14)</f>
        <v>-11833.5</v>
      </c>
      <c r="Y14" s="6">
        <f t="shared" ref="Y14:Y45" si="12">IF(W14=0,"",(V14)/(W14))</f>
        <v>0</v>
      </c>
      <c r="Z14" s="4"/>
      <c r="AA14" s="5">
        <f>11833.5</f>
        <v>11833.5</v>
      </c>
      <c r="AB14" s="5">
        <f t="shared" ref="AB14:AB45" si="13">(Z14)-(AA14)</f>
        <v>-11833.5</v>
      </c>
      <c r="AC14" s="6">
        <f t="shared" ref="AC14:AC45" si="14">IF(AA14=0,"",(Z14)/(AA14))</f>
        <v>0</v>
      </c>
      <c r="AD14" s="4"/>
      <c r="AE14" s="5">
        <f>11833.5</f>
        <v>11833.5</v>
      </c>
      <c r="AF14" s="5">
        <f t="shared" ref="AF14:AF45" si="15">(AD14)-(AE14)</f>
        <v>-11833.5</v>
      </c>
      <c r="AG14" s="6">
        <f t="shared" ref="AG14:AG45" si="16">IF(AE14=0,"",(AD14)/(AE14))</f>
        <v>0</v>
      </c>
      <c r="AH14" s="4"/>
      <c r="AI14" s="5">
        <f>11833.5</f>
        <v>11833.5</v>
      </c>
      <c r="AJ14" s="5">
        <f t="shared" ref="AJ14:AJ45" si="17">(AH14)-(AI14)</f>
        <v>-11833.5</v>
      </c>
      <c r="AK14" s="6">
        <f t="shared" ref="AK14:AK45" si="18">IF(AI14=0,"",(AH14)/(AI14))</f>
        <v>0</v>
      </c>
      <c r="AL14" s="4"/>
      <c r="AM14" s="5">
        <f>11833.5</f>
        <v>11833.5</v>
      </c>
      <c r="AN14" s="5">
        <f t="shared" ref="AN14:AN45" si="19">(AL14)-(AM14)</f>
        <v>-11833.5</v>
      </c>
      <c r="AO14" s="6">
        <f t="shared" ref="AO14:AO45" si="20">IF(AM14=0,"",(AL14)/(AM14))</f>
        <v>0</v>
      </c>
      <c r="AP14" s="4"/>
      <c r="AQ14" s="5">
        <f>11833.5</f>
        <v>11833.5</v>
      </c>
      <c r="AR14" s="5">
        <f t="shared" ref="AR14:AR45" si="21">(AP14)-(AQ14)</f>
        <v>-11833.5</v>
      </c>
      <c r="AS14" s="6">
        <f t="shared" ref="AS14:AS45" si="22">IF(AQ14=0,"",(AP14)/(AQ14))</f>
        <v>0</v>
      </c>
      <c r="AT14" s="4"/>
      <c r="AU14" s="5">
        <f>11833.5</f>
        <v>11833.5</v>
      </c>
      <c r="AV14" s="5">
        <f t="shared" ref="AV14:AV45" si="23">(AT14)-(AU14)</f>
        <v>-11833.5</v>
      </c>
      <c r="AW14" s="6">
        <f t="shared" ref="AW14:AW45" si="24">IF(AU14=0,"",(AT14)/(AU14))</f>
        <v>0</v>
      </c>
      <c r="AX14" s="5">
        <f t="shared" ref="AX14:AX45" si="25">(((((((((((B14)+(F14))+(J14))+(N14))+(R14))+(V14))+(Z14))+(AD14))+(AH14))+(AL14))+(AP14))+(AT14)</f>
        <v>0</v>
      </c>
      <c r="AY14" s="5">
        <f t="shared" ref="AY14:AY45" si="26">(((((((((((C14)+(G14))+(K14))+(O14))+(S14))+(W14))+(AA14))+(AE14))+(AI14))+(AM14))+(AQ14))+(AU14)</f>
        <v>142002</v>
      </c>
      <c r="AZ14" s="5">
        <f t="shared" ref="AZ14:AZ45" si="27">(AX14)-(AY14)</f>
        <v>-142002</v>
      </c>
      <c r="BA14" s="6">
        <f t="shared" ref="BA14:BA45" si="28">IF(AY14=0,"",(AX14)/(AY14))</f>
        <v>0</v>
      </c>
    </row>
    <row r="15" spans="1:53" x14ac:dyDescent="0.25">
      <c r="A15" s="3" t="s">
        <v>28</v>
      </c>
      <c r="B15" s="5">
        <f>7042.88</f>
        <v>7042.88</v>
      </c>
      <c r="C15" s="4"/>
      <c r="D15" s="5">
        <f t="shared" si="1"/>
        <v>7042.88</v>
      </c>
      <c r="E15" s="6" t="str">
        <f t="shared" si="2"/>
        <v/>
      </c>
      <c r="F15" s="5">
        <f>7042.88</f>
        <v>7042.88</v>
      </c>
      <c r="G15" s="4"/>
      <c r="H15" s="5">
        <f t="shared" si="3"/>
        <v>7042.88</v>
      </c>
      <c r="I15" s="6" t="str">
        <f t="shared" si="4"/>
        <v/>
      </c>
      <c r="J15" s="5">
        <f>7042.88</f>
        <v>7042.88</v>
      </c>
      <c r="K15" s="4"/>
      <c r="L15" s="5">
        <f t="shared" si="5"/>
        <v>7042.88</v>
      </c>
      <c r="M15" s="6" t="str">
        <f t="shared" si="6"/>
        <v/>
      </c>
      <c r="N15" s="5">
        <f>10564.32</f>
        <v>10564.32</v>
      </c>
      <c r="O15" s="4"/>
      <c r="P15" s="5">
        <f t="shared" si="7"/>
        <v>10564.32</v>
      </c>
      <c r="Q15" s="6" t="str">
        <f t="shared" si="8"/>
        <v/>
      </c>
      <c r="R15" s="5">
        <f>7042.88</f>
        <v>7042.88</v>
      </c>
      <c r="S15" s="4"/>
      <c r="T15" s="5">
        <f t="shared" si="9"/>
        <v>7042.88</v>
      </c>
      <c r="U15" s="6" t="str">
        <f t="shared" si="10"/>
        <v/>
      </c>
      <c r="V15" s="5">
        <f>7042.88</f>
        <v>7042.88</v>
      </c>
      <c r="W15" s="4"/>
      <c r="X15" s="5">
        <f t="shared" si="11"/>
        <v>7042.88</v>
      </c>
      <c r="Y15" s="6" t="str">
        <f t="shared" si="12"/>
        <v/>
      </c>
      <c r="Z15" s="5">
        <f>7042.88</f>
        <v>7042.88</v>
      </c>
      <c r="AA15" s="4"/>
      <c r="AB15" s="5">
        <f t="shared" si="13"/>
        <v>7042.88</v>
      </c>
      <c r="AC15" s="6" t="str">
        <f t="shared" si="14"/>
        <v/>
      </c>
      <c r="AD15" s="5">
        <f>7042.88</f>
        <v>7042.88</v>
      </c>
      <c r="AE15" s="4"/>
      <c r="AF15" s="5">
        <f t="shared" si="15"/>
        <v>7042.88</v>
      </c>
      <c r="AG15" s="6" t="str">
        <f t="shared" si="16"/>
        <v/>
      </c>
      <c r="AH15" s="5">
        <f>7042.88</f>
        <v>7042.88</v>
      </c>
      <c r="AI15" s="4"/>
      <c r="AJ15" s="5">
        <f t="shared" si="17"/>
        <v>7042.88</v>
      </c>
      <c r="AK15" s="6" t="str">
        <f t="shared" si="18"/>
        <v/>
      </c>
      <c r="AL15" s="5">
        <f>10564.32</f>
        <v>10564.32</v>
      </c>
      <c r="AM15" s="4"/>
      <c r="AN15" s="5">
        <f t="shared" si="19"/>
        <v>10564.32</v>
      </c>
      <c r="AO15" s="6" t="str">
        <f t="shared" si="20"/>
        <v/>
      </c>
      <c r="AP15" s="5">
        <f>7042.88</f>
        <v>7042.88</v>
      </c>
      <c r="AQ15" s="4"/>
      <c r="AR15" s="5">
        <f t="shared" si="21"/>
        <v>7042.88</v>
      </c>
      <c r="AS15" s="6" t="str">
        <f t="shared" si="22"/>
        <v/>
      </c>
      <c r="AT15" s="5">
        <f>9860.03</f>
        <v>9860.0300000000007</v>
      </c>
      <c r="AU15" s="4"/>
      <c r="AV15" s="5">
        <f t="shared" si="23"/>
        <v>9860.0300000000007</v>
      </c>
      <c r="AW15" s="6" t="str">
        <f t="shared" si="24"/>
        <v/>
      </c>
      <c r="AX15" s="5">
        <f t="shared" si="25"/>
        <v>94374.59</v>
      </c>
      <c r="AY15" s="5">
        <f t="shared" si="26"/>
        <v>0</v>
      </c>
      <c r="AZ15" s="5">
        <f t="shared" si="27"/>
        <v>94374.59</v>
      </c>
      <c r="BA15" s="6" t="str">
        <f t="shared" si="28"/>
        <v/>
      </c>
    </row>
    <row r="16" spans="1:53" x14ac:dyDescent="0.25">
      <c r="A16" s="3" t="s">
        <v>29</v>
      </c>
      <c r="B16" s="5">
        <f>541.76</f>
        <v>541.76</v>
      </c>
      <c r="C16" s="4"/>
      <c r="D16" s="5">
        <f t="shared" si="1"/>
        <v>541.76</v>
      </c>
      <c r="E16" s="6" t="str">
        <f t="shared" si="2"/>
        <v/>
      </c>
      <c r="F16" s="5">
        <f>3792.32</f>
        <v>3792.32</v>
      </c>
      <c r="G16" s="4"/>
      <c r="H16" s="5">
        <f t="shared" si="3"/>
        <v>3792.32</v>
      </c>
      <c r="I16" s="6" t="str">
        <f t="shared" si="4"/>
        <v/>
      </c>
      <c r="J16" s="5">
        <f>3792.32</f>
        <v>3792.32</v>
      </c>
      <c r="K16" s="4"/>
      <c r="L16" s="5">
        <f t="shared" si="5"/>
        <v>3792.32</v>
      </c>
      <c r="M16" s="6" t="str">
        <f t="shared" si="6"/>
        <v/>
      </c>
      <c r="N16" s="5">
        <f>5688.48</f>
        <v>5688.48</v>
      </c>
      <c r="O16" s="4"/>
      <c r="P16" s="5">
        <f t="shared" si="7"/>
        <v>5688.48</v>
      </c>
      <c r="Q16" s="6" t="str">
        <f t="shared" si="8"/>
        <v/>
      </c>
      <c r="R16" s="5">
        <f>3792.32</f>
        <v>3792.32</v>
      </c>
      <c r="S16" s="4"/>
      <c r="T16" s="5">
        <f t="shared" si="9"/>
        <v>3792.32</v>
      </c>
      <c r="U16" s="6" t="str">
        <f t="shared" si="10"/>
        <v/>
      </c>
      <c r="V16" s="5">
        <f>3792.32</f>
        <v>3792.32</v>
      </c>
      <c r="W16" s="4"/>
      <c r="X16" s="5">
        <f t="shared" si="11"/>
        <v>3792.32</v>
      </c>
      <c r="Y16" s="6" t="str">
        <f t="shared" si="12"/>
        <v/>
      </c>
      <c r="Z16" s="5">
        <f>3792.32</f>
        <v>3792.32</v>
      </c>
      <c r="AA16" s="4"/>
      <c r="AB16" s="5">
        <f t="shared" si="13"/>
        <v>3792.32</v>
      </c>
      <c r="AC16" s="6" t="str">
        <f t="shared" si="14"/>
        <v/>
      </c>
      <c r="AD16" s="5">
        <f>3792.32</f>
        <v>3792.32</v>
      </c>
      <c r="AE16" s="4"/>
      <c r="AF16" s="5">
        <f t="shared" si="15"/>
        <v>3792.32</v>
      </c>
      <c r="AG16" s="6" t="str">
        <f t="shared" si="16"/>
        <v/>
      </c>
      <c r="AH16" s="5">
        <f>3792.32</f>
        <v>3792.32</v>
      </c>
      <c r="AI16" s="4"/>
      <c r="AJ16" s="5">
        <f t="shared" si="17"/>
        <v>3792.32</v>
      </c>
      <c r="AK16" s="6" t="str">
        <f t="shared" si="18"/>
        <v/>
      </c>
      <c r="AL16" s="5">
        <f>5688.48</f>
        <v>5688.48</v>
      </c>
      <c r="AM16" s="4"/>
      <c r="AN16" s="5">
        <f t="shared" si="19"/>
        <v>5688.48</v>
      </c>
      <c r="AO16" s="6" t="str">
        <f t="shared" si="20"/>
        <v/>
      </c>
      <c r="AP16" s="5">
        <f>3792.32</f>
        <v>3792.32</v>
      </c>
      <c r="AQ16" s="4"/>
      <c r="AR16" s="5">
        <f t="shared" si="21"/>
        <v>3792.32</v>
      </c>
      <c r="AS16" s="6" t="str">
        <f t="shared" si="22"/>
        <v/>
      </c>
      <c r="AT16" s="5">
        <f>5309.25</f>
        <v>5309.25</v>
      </c>
      <c r="AU16" s="4"/>
      <c r="AV16" s="5">
        <f t="shared" si="23"/>
        <v>5309.25</v>
      </c>
      <c r="AW16" s="6" t="str">
        <f t="shared" si="24"/>
        <v/>
      </c>
      <c r="AX16" s="5">
        <f t="shared" si="25"/>
        <v>47566.530000000006</v>
      </c>
      <c r="AY16" s="5">
        <f t="shared" si="26"/>
        <v>0</v>
      </c>
      <c r="AZ16" s="5">
        <f t="shared" si="27"/>
        <v>47566.530000000006</v>
      </c>
      <c r="BA16" s="6" t="str">
        <f t="shared" si="28"/>
        <v/>
      </c>
    </row>
    <row r="17" spans="1:53" x14ac:dyDescent="0.25">
      <c r="A17" s="3" t="s">
        <v>30</v>
      </c>
      <c r="B17" s="5">
        <f>0</f>
        <v>0</v>
      </c>
      <c r="C17" s="4"/>
      <c r="D17" s="5">
        <f t="shared" si="1"/>
        <v>0</v>
      </c>
      <c r="E17" s="6" t="str">
        <f t="shared" si="2"/>
        <v/>
      </c>
      <c r="F17" s="5">
        <f>0</f>
        <v>0</v>
      </c>
      <c r="G17" s="4"/>
      <c r="H17" s="5">
        <f t="shared" si="3"/>
        <v>0</v>
      </c>
      <c r="I17" s="6" t="str">
        <f t="shared" si="4"/>
        <v/>
      </c>
      <c r="J17" s="5">
        <f>0</f>
        <v>0</v>
      </c>
      <c r="K17" s="4"/>
      <c r="L17" s="5">
        <f t="shared" si="5"/>
        <v>0</v>
      </c>
      <c r="M17" s="6" t="str">
        <f t="shared" si="6"/>
        <v/>
      </c>
      <c r="N17" s="5">
        <f>0</f>
        <v>0</v>
      </c>
      <c r="O17" s="4"/>
      <c r="P17" s="5">
        <f t="shared" si="7"/>
        <v>0</v>
      </c>
      <c r="Q17" s="6" t="str">
        <f t="shared" si="8"/>
        <v/>
      </c>
      <c r="R17" s="5">
        <f>0</f>
        <v>0</v>
      </c>
      <c r="S17" s="4"/>
      <c r="T17" s="5">
        <f t="shared" si="9"/>
        <v>0</v>
      </c>
      <c r="U17" s="6" t="str">
        <f t="shared" si="10"/>
        <v/>
      </c>
      <c r="V17" s="5">
        <f>0</f>
        <v>0</v>
      </c>
      <c r="W17" s="4"/>
      <c r="X17" s="5">
        <f t="shared" si="11"/>
        <v>0</v>
      </c>
      <c r="Y17" s="6" t="str">
        <f t="shared" si="12"/>
        <v/>
      </c>
      <c r="Z17" s="5">
        <f>0</f>
        <v>0</v>
      </c>
      <c r="AA17" s="4"/>
      <c r="AB17" s="5">
        <f t="shared" si="13"/>
        <v>0</v>
      </c>
      <c r="AC17" s="6" t="str">
        <f t="shared" si="14"/>
        <v/>
      </c>
      <c r="AD17" s="5">
        <f>0</f>
        <v>0</v>
      </c>
      <c r="AE17" s="4"/>
      <c r="AF17" s="5">
        <f t="shared" si="15"/>
        <v>0</v>
      </c>
      <c r="AG17" s="6" t="str">
        <f t="shared" si="16"/>
        <v/>
      </c>
      <c r="AH17" s="5">
        <f>0</f>
        <v>0</v>
      </c>
      <c r="AI17" s="4"/>
      <c r="AJ17" s="5">
        <f t="shared" si="17"/>
        <v>0</v>
      </c>
      <c r="AK17" s="6" t="str">
        <f t="shared" si="18"/>
        <v/>
      </c>
      <c r="AL17" s="5">
        <f>0</f>
        <v>0</v>
      </c>
      <c r="AM17" s="4"/>
      <c r="AN17" s="5">
        <f t="shared" si="19"/>
        <v>0</v>
      </c>
      <c r="AO17" s="6" t="str">
        <f t="shared" si="20"/>
        <v/>
      </c>
      <c r="AP17" s="5">
        <f>0</f>
        <v>0</v>
      </c>
      <c r="AQ17" s="4"/>
      <c r="AR17" s="5">
        <f t="shared" si="21"/>
        <v>0</v>
      </c>
      <c r="AS17" s="6" t="str">
        <f t="shared" si="22"/>
        <v/>
      </c>
      <c r="AT17" s="5">
        <f>0</f>
        <v>0</v>
      </c>
      <c r="AU17" s="4"/>
      <c r="AV17" s="5">
        <f t="shared" si="23"/>
        <v>0</v>
      </c>
      <c r="AW17" s="6" t="str">
        <f t="shared" si="24"/>
        <v/>
      </c>
      <c r="AX17" s="5">
        <f t="shared" si="25"/>
        <v>0</v>
      </c>
      <c r="AY17" s="5">
        <f t="shared" si="26"/>
        <v>0</v>
      </c>
      <c r="AZ17" s="5">
        <f t="shared" si="27"/>
        <v>0</v>
      </c>
      <c r="BA17" s="6" t="str">
        <f t="shared" si="28"/>
        <v/>
      </c>
    </row>
    <row r="18" spans="1:53" x14ac:dyDescent="0.25">
      <c r="A18" s="3" t="s">
        <v>31</v>
      </c>
      <c r="B18" s="7">
        <f>(((B14)+(B15))+(B16))+(B17)</f>
        <v>7584.64</v>
      </c>
      <c r="C18" s="7">
        <f>(((C14)+(C15))+(C16))+(C17)</f>
        <v>11833.5</v>
      </c>
      <c r="D18" s="7">
        <f t="shared" si="1"/>
        <v>-4248.8599999999997</v>
      </c>
      <c r="E18" s="8">
        <f t="shared" si="2"/>
        <v>0.64094646554273882</v>
      </c>
      <c r="F18" s="7">
        <f>(((F14)+(F15))+(F16))+(F17)</f>
        <v>10835.2</v>
      </c>
      <c r="G18" s="7">
        <f>(((G14)+(G15))+(G16))+(G17)</f>
        <v>11833.5</v>
      </c>
      <c r="H18" s="7">
        <f t="shared" si="3"/>
        <v>-998.29999999999927</v>
      </c>
      <c r="I18" s="8">
        <f t="shared" si="4"/>
        <v>0.91563780791819838</v>
      </c>
      <c r="J18" s="7">
        <f>(((J14)+(J15))+(J16))+(J17)</f>
        <v>10835.2</v>
      </c>
      <c r="K18" s="7">
        <f>(((K14)+(K15))+(K16))+(K17)</f>
        <v>11833.5</v>
      </c>
      <c r="L18" s="7">
        <f t="shared" si="5"/>
        <v>-998.29999999999927</v>
      </c>
      <c r="M18" s="8">
        <f t="shared" si="6"/>
        <v>0.91563780791819838</v>
      </c>
      <c r="N18" s="7">
        <f>(((N14)+(N15))+(N16))+(N17)</f>
        <v>16252.8</v>
      </c>
      <c r="O18" s="7">
        <f>(((O14)+(O15))+(O16))+(O17)</f>
        <v>11833.5</v>
      </c>
      <c r="P18" s="7">
        <f t="shared" si="7"/>
        <v>4419.2999999999993</v>
      </c>
      <c r="Q18" s="8">
        <f t="shared" si="8"/>
        <v>1.3734567118772973</v>
      </c>
      <c r="R18" s="7">
        <f>(((R14)+(R15))+(R16))+(R17)</f>
        <v>10835.2</v>
      </c>
      <c r="S18" s="7">
        <f>(((S14)+(S15))+(S16))+(S17)</f>
        <v>11833.5</v>
      </c>
      <c r="T18" s="7">
        <f t="shared" si="9"/>
        <v>-998.29999999999927</v>
      </c>
      <c r="U18" s="8">
        <f t="shared" si="10"/>
        <v>0.91563780791819838</v>
      </c>
      <c r="V18" s="7">
        <f>(((V14)+(V15))+(V16))+(V17)</f>
        <v>10835.2</v>
      </c>
      <c r="W18" s="7">
        <f>(((W14)+(W15))+(W16))+(W17)</f>
        <v>11833.5</v>
      </c>
      <c r="X18" s="7">
        <f t="shared" si="11"/>
        <v>-998.29999999999927</v>
      </c>
      <c r="Y18" s="8">
        <f t="shared" si="12"/>
        <v>0.91563780791819838</v>
      </c>
      <c r="Z18" s="7">
        <f>(((Z14)+(Z15))+(Z16))+(Z17)</f>
        <v>10835.2</v>
      </c>
      <c r="AA18" s="7">
        <f>(((AA14)+(AA15))+(AA16))+(AA17)</f>
        <v>11833.5</v>
      </c>
      <c r="AB18" s="7">
        <f t="shared" si="13"/>
        <v>-998.29999999999927</v>
      </c>
      <c r="AC18" s="8">
        <f t="shared" si="14"/>
        <v>0.91563780791819838</v>
      </c>
      <c r="AD18" s="7">
        <f>(((AD14)+(AD15))+(AD16))+(AD17)</f>
        <v>10835.2</v>
      </c>
      <c r="AE18" s="7">
        <f>(((AE14)+(AE15))+(AE16))+(AE17)</f>
        <v>11833.5</v>
      </c>
      <c r="AF18" s="7">
        <f t="shared" si="15"/>
        <v>-998.29999999999927</v>
      </c>
      <c r="AG18" s="8">
        <f t="shared" si="16"/>
        <v>0.91563780791819838</v>
      </c>
      <c r="AH18" s="7">
        <f>(((AH14)+(AH15))+(AH16))+(AH17)</f>
        <v>10835.2</v>
      </c>
      <c r="AI18" s="7">
        <f>(((AI14)+(AI15))+(AI16))+(AI17)</f>
        <v>11833.5</v>
      </c>
      <c r="AJ18" s="7">
        <f t="shared" si="17"/>
        <v>-998.29999999999927</v>
      </c>
      <c r="AK18" s="8">
        <f t="shared" si="18"/>
        <v>0.91563780791819838</v>
      </c>
      <c r="AL18" s="7">
        <f>(((AL14)+(AL15))+(AL16))+(AL17)</f>
        <v>16252.8</v>
      </c>
      <c r="AM18" s="7">
        <f>(((AM14)+(AM15))+(AM16))+(AM17)</f>
        <v>11833.5</v>
      </c>
      <c r="AN18" s="7">
        <f t="shared" si="19"/>
        <v>4419.2999999999993</v>
      </c>
      <c r="AO18" s="8">
        <f t="shared" si="20"/>
        <v>1.3734567118772973</v>
      </c>
      <c r="AP18" s="7">
        <f>(((AP14)+(AP15))+(AP16))+(AP17)</f>
        <v>10835.2</v>
      </c>
      <c r="AQ18" s="7">
        <f>(((AQ14)+(AQ15))+(AQ16))+(AQ17)</f>
        <v>11833.5</v>
      </c>
      <c r="AR18" s="7">
        <f t="shared" si="21"/>
        <v>-998.29999999999927</v>
      </c>
      <c r="AS18" s="8">
        <f t="shared" si="22"/>
        <v>0.91563780791819838</v>
      </c>
      <c r="AT18" s="7">
        <f>(((AT14)+(AT15))+(AT16))+(AT17)</f>
        <v>15169.28</v>
      </c>
      <c r="AU18" s="7">
        <f>(((AU14)+(AU15))+(AU16))+(AU17)</f>
        <v>11833.5</v>
      </c>
      <c r="AV18" s="7">
        <f t="shared" si="23"/>
        <v>3335.7800000000007</v>
      </c>
      <c r="AW18" s="8">
        <f t="shared" si="24"/>
        <v>1.2818929310854776</v>
      </c>
      <c r="AX18" s="7">
        <f t="shared" si="25"/>
        <v>141941.12</v>
      </c>
      <c r="AY18" s="7">
        <f t="shared" si="26"/>
        <v>142002</v>
      </c>
      <c r="AZ18" s="7">
        <f t="shared" si="27"/>
        <v>-60.880000000004657</v>
      </c>
      <c r="BA18" s="8">
        <f t="shared" si="28"/>
        <v>0.9995712736440332</v>
      </c>
    </row>
    <row r="19" spans="1:53" x14ac:dyDescent="0.25">
      <c r="A19" s="3" t="s">
        <v>32</v>
      </c>
      <c r="B19" s="4"/>
      <c r="C19" s="5">
        <f>733.68</f>
        <v>733.68</v>
      </c>
      <c r="D19" s="5">
        <f t="shared" si="1"/>
        <v>-733.68</v>
      </c>
      <c r="E19" s="6">
        <f t="shared" si="2"/>
        <v>0</v>
      </c>
      <c r="F19" s="4"/>
      <c r="G19" s="5">
        <f>733.68</f>
        <v>733.68</v>
      </c>
      <c r="H19" s="5">
        <f t="shared" si="3"/>
        <v>-733.68</v>
      </c>
      <c r="I19" s="6">
        <f t="shared" si="4"/>
        <v>0</v>
      </c>
      <c r="J19" s="4"/>
      <c r="K19" s="5">
        <f>733.68</f>
        <v>733.68</v>
      </c>
      <c r="L19" s="5">
        <f t="shared" si="5"/>
        <v>-733.68</v>
      </c>
      <c r="M19" s="6">
        <f t="shared" si="6"/>
        <v>0</v>
      </c>
      <c r="N19" s="4"/>
      <c r="O19" s="5">
        <f>733.68</f>
        <v>733.68</v>
      </c>
      <c r="P19" s="5">
        <f t="shared" si="7"/>
        <v>-733.68</v>
      </c>
      <c r="Q19" s="6">
        <f t="shared" si="8"/>
        <v>0</v>
      </c>
      <c r="R19" s="4"/>
      <c r="S19" s="5">
        <f>733.68</f>
        <v>733.68</v>
      </c>
      <c r="T19" s="5">
        <f t="shared" si="9"/>
        <v>-733.68</v>
      </c>
      <c r="U19" s="6">
        <f t="shared" si="10"/>
        <v>0</v>
      </c>
      <c r="V19" s="4"/>
      <c r="W19" s="5">
        <f>733.68</f>
        <v>733.68</v>
      </c>
      <c r="X19" s="5">
        <f t="shared" si="11"/>
        <v>-733.68</v>
      </c>
      <c r="Y19" s="6">
        <f t="shared" si="12"/>
        <v>0</v>
      </c>
      <c r="Z19" s="4"/>
      <c r="AA19" s="5">
        <f>733.68</f>
        <v>733.68</v>
      </c>
      <c r="AB19" s="5">
        <f t="shared" si="13"/>
        <v>-733.68</v>
      </c>
      <c r="AC19" s="6">
        <f t="shared" si="14"/>
        <v>0</v>
      </c>
      <c r="AD19" s="4"/>
      <c r="AE19" s="5">
        <f>733.68</f>
        <v>733.68</v>
      </c>
      <c r="AF19" s="5">
        <f t="shared" si="15"/>
        <v>-733.68</v>
      </c>
      <c r="AG19" s="6">
        <f t="shared" si="16"/>
        <v>0</v>
      </c>
      <c r="AH19" s="4"/>
      <c r="AI19" s="5">
        <f>733.68</f>
        <v>733.68</v>
      </c>
      <c r="AJ19" s="5">
        <f t="shared" si="17"/>
        <v>-733.68</v>
      </c>
      <c r="AK19" s="6">
        <f t="shared" si="18"/>
        <v>0</v>
      </c>
      <c r="AL19" s="4"/>
      <c r="AM19" s="5">
        <f>733.68</f>
        <v>733.68</v>
      </c>
      <c r="AN19" s="5">
        <f t="shared" si="19"/>
        <v>-733.68</v>
      </c>
      <c r="AO19" s="6">
        <f t="shared" si="20"/>
        <v>0</v>
      </c>
      <c r="AP19" s="4"/>
      <c r="AQ19" s="5">
        <f>733.68</f>
        <v>733.68</v>
      </c>
      <c r="AR19" s="5">
        <f t="shared" si="21"/>
        <v>-733.68</v>
      </c>
      <c r="AS19" s="6">
        <f t="shared" si="22"/>
        <v>0</v>
      </c>
      <c r="AT19" s="4"/>
      <c r="AU19" s="5">
        <f>733.68</f>
        <v>733.68</v>
      </c>
      <c r="AV19" s="5">
        <f t="shared" si="23"/>
        <v>-733.68</v>
      </c>
      <c r="AW19" s="6">
        <f t="shared" si="24"/>
        <v>0</v>
      </c>
      <c r="AX19" s="5">
        <f t="shared" si="25"/>
        <v>0</v>
      </c>
      <c r="AY19" s="5">
        <f t="shared" si="26"/>
        <v>8804.1600000000017</v>
      </c>
      <c r="AZ19" s="5">
        <f t="shared" si="27"/>
        <v>-8804.1600000000017</v>
      </c>
      <c r="BA19" s="6">
        <f t="shared" si="28"/>
        <v>0</v>
      </c>
    </row>
    <row r="20" spans="1:53" x14ac:dyDescent="0.25">
      <c r="A20" s="3" t="s">
        <v>33</v>
      </c>
      <c r="B20" s="5">
        <f>411.46</f>
        <v>411.46</v>
      </c>
      <c r="C20" s="4"/>
      <c r="D20" s="5">
        <f t="shared" si="1"/>
        <v>411.46</v>
      </c>
      <c r="E20" s="6" t="str">
        <f t="shared" si="2"/>
        <v/>
      </c>
      <c r="F20" s="5">
        <f>411.46</f>
        <v>411.46</v>
      </c>
      <c r="G20" s="4"/>
      <c r="H20" s="5">
        <f t="shared" si="3"/>
        <v>411.46</v>
      </c>
      <c r="I20" s="6" t="str">
        <f t="shared" si="4"/>
        <v/>
      </c>
      <c r="J20" s="5">
        <f>411.46</f>
        <v>411.46</v>
      </c>
      <c r="K20" s="4"/>
      <c r="L20" s="5">
        <f t="shared" si="5"/>
        <v>411.46</v>
      </c>
      <c r="M20" s="6" t="str">
        <f t="shared" si="6"/>
        <v/>
      </c>
      <c r="N20" s="5">
        <f>617.19</f>
        <v>617.19000000000005</v>
      </c>
      <c r="O20" s="4"/>
      <c r="P20" s="5">
        <f t="shared" si="7"/>
        <v>617.19000000000005</v>
      </c>
      <c r="Q20" s="6" t="str">
        <f t="shared" si="8"/>
        <v/>
      </c>
      <c r="R20" s="5">
        <f>409.79</f>
        <v>409.79</v>
      </c>
      <c r="S20" s="4"/>
      <c r="T20" s="5">
        <f t="shared" si="9"/>
        <v>409.79</v>
      </c>
      <c r="U20" s="6" t="str">
        <f t="shared" si="10"/>
        <v/>
      </c>
      <c r="V20" s="5">
        <f>409.79</f>
        <v>409.79</v>
      </c>
      <c r="W20" s="4"/>
      <c r="X20" s="5">
        <f t="shared" si="11"/>
        <v>409.79</v>
      </c>
      <c r="Y20" s="6" t="str">
        <f t="shared" si="12"/>
        <v/>
      </c>
      <c r="Z20" s="5">
        <f>409.79</f>
        <v>409.79</v>
      </c>
      <c r="AA20" s="4"/>
      <c r="AB20" s="5">
        <f t="shared" si="13"/>
        <v>409.79</v>
      </c>
      <c r="AC20" s="6" t="str">
        <f t="shared" si="14"/>
        <v/>
      </c>
      <c r="AD20" s="5">
        <f>413.5</f>
        <v>413.5</v>
      </c>
      <c r="AE20" s="4"/>
      <c r="AF20" s="5">
        <f t="shared" si="15"/>
        <v>413.5</v>
      </c>
      <c r="AG20" s="6" t="str">
        <f t="shared" si="16"/>
        <v/>
      </c>
      <c r="AH20" s="5">
        <f>413.5</f>
        <v>413.5</v>
      </c>
      <c r="AI20" s="4"/>
      <c r="AJ20" s="5">
        <f t="shared" si="17"/>
        <v>413.5</v>
      </c>
      <c r="AK20" s="6" t="str">
        <f t="shared" si="18"/>
        <v/>
      </c>
      <c r="AL20" s="5">
        <f>620.26</f>
        <v>620.26</v>
      </c>
      <c r="AM20" s="4"/>
      <c r="AN20" s="5">
        <f t="shared" si="19"/>
        <v>620.26</v>
      </c>
      <c r="AO20" s="6" t="str">
        <f t="shared" si="20"/>
        <v/>
      </c>
      <c r="AP20" s="5">
        <f>413.54</f>
        <v>413.54</v>
      </c>
      <c r="AQ20" s="4"/>
      <c r="AR20" s="5">
        <f t="shared" si="21"/>
        <v>413.54</v>
      </c>
      <c r="AS20" s="6" t="str">
        <f t="shared" si="22"/>
        <v/>
      </c>
      <c r="AT20" s="5">
        <f>413.5</f>
        <v>413.5</v>
      </c>
      <c r="AU20" s="4"/>
      <c r="AV20" s="5">
        <f t="shared" si="23"/>
        <v>413.5</v>
      </c>
      <c r="AW20" s="6" t="str">
        <f t="shared" si="24"/>
        <v/>
      </c>
      <c r="AX20" s="5">
        <f t="shared" si="25"/>
        <v>5355.24</v>
      </c>
      <c r="AY20" s="5">
        <f t="shared" si="26"/>
        <v>0</v>
      </c>
      <c r="AZ20" s="5">
        <f t="shared" si="27"/>
        <v>5355.24</v>
      </c>
      <c r="BA20" s="6" t="str">
        <f t="shared" si="28"/>
        <v/>
      </c>
    </row>
    <row r="21" spans="1:53" x14ac:dyDescent="0.25">
      <c r="A21" s="3" t="s">
        <v>34</v>
      </c>
      <c r="B21" s="5">
        <f>221.56</f>
        <v>221.56</v>
      </c>
      <c r="C21" s="4"/>
      <c r="D21" s="5">
        <f t="shared" si="1"/>
        <v>221.56</v>
      </c>
      <c r="E21" s="6" t="str">
        <f t="shared" si="2"/>
        <v/>
      </c>
      <c r="F21" s="5">
        <f>221.56</f>
        <v>221.56</v>
      </c>
      <c r="G21" s="4"/>
      <c r="H21" s="5">
        <f t="shared" si="3"/>
        <v>221.56</v>
      </c>
      <c r="I21" s="6" t="str">
        <f t="shared" si="4"/>
        <v/>
      </c>
      <c r="J21" s="5">
        <f>221.56</f>
        <v>221.56</v>
      </c>
      <c r="K21" s="4"/>
      <c r="L21" s="5">
        <f t="shared" si="5"/>
        <v>221.56</v>
      </c>
      <c r="M21" s="6" t="str">
        <f t="shared" si="6"/>
        <v/>
      </c>
      <c r="N21" s="5">
        <f>332.34</f>
        <v>332.34</v>
      </c>
      <c r="O21" s="4"/>
      <c r="P21" s="5">
        <f t="shared" si="7"/>
        <v>332.34</v>
      </c>
      <c r="Q21" s="6" t="str">
        <f t="shared" si="8"/>
        <v/>
      </c>
      <c r="R21" s="5">
        <f>220.65</f>
        <v>220.65</v>
      </c>
      <c r="S21" s="4"/>
      <c r="T21" s="5">
        <f t="shared" si="9"/>
        <v>220.65</v>
      </c>
      <c r="U21" s="6" t="str">
        <f t="shared" si="10"/>
        <v/>
      </c>
      <c r="V21" s="5">
        <f>220.65</f>
        <v>220.65</v>
      </c>
      <c r="W21" s="4"/>
      <c r="X21" s="5">
        <f t="shared" si="11"/>
        <v>220.65</v>
      </c>
      <c r="Y21" s="6" t="str">
        <f t="shared" si="12"/>
        <v/>
      </c>
      <c r="Z21" s="5">
        <f>220.65</f>
        <v>220.65</v>
      </c>
      <c r="AA21" s="4"/>
      <c r="AB21" s="5">
        <f t="shared" si="13"/>
        <v>220.65</v>
      </c>
      <c r="AC21" s="6" t="str">
        <f t="shared" si="14"/>
        <v/>
      </c>
      <c r="AD21" s="5">
        <f>222.66</f>
        <v>222.66</v>
      </c>
      <c r="AE21" s="4"/>
      <c r="AF21" s="5">
        <f t="shared" si="15"/>
        <v>222.66</v>
      </c>
      <c r="AG21" s="6" t="str">
        <f t="shared" si="16"/>
        <v/>
      </c>
      <c r="AH21" s="5">
        <f>222.66</f>
        <v>222.66</v>
      </c>
      <c r="AI21" s="4"/>
      <c r="AJ21" s="5">
        <f t="shared" si="17"/>
        <v>222.66</v>
      </c>
      <c r="AK21" s="6" t="str">
        <f t="shared" si="18"/>
        <v/>
      </c>
      <c r="AL21" s="5">
        <f>333.98</f>
        <v>333.98</v>
      </c>
      <c r="AM21" s="4"/>
      <c r="AN21" s="5">
        <f t="shared" si="19"/>
        <v>333.98</v>
      </c>
      <c r="AO21" s="6" t="str">
        <f t="shared" si="20"/>
        <v/>
      </c>
      <c r="AP21" s="5">
        <f>222.68</f>
        <v>222.68</v>
      </c>
      <c r="AQ21" s="4"/>
      <c r="AR21" s="5">
        <f t="shared" si="21"/>
        <v>222.68</v>
      </c>
      <c r="AS21" s="6" t="str">
        <f t="shared" si="22"/>
        <v/>
      </c>
      <c r="AT21" s="5">
        <f>222.66</f>
        <v>222.66</v>
      </c>
      <c r="AU21" s="4"/>
      <c r="AV21" s="5">
        <f t="shared" si="23"/>
        <v>222.66</v>
      </c>
      <c r="AW21" s="6" t="str">
        <f t="shared" si="24"/>
        <v/>
      </c>
      <c r="AX21" s="5">
        <f t="shared" si="25"/>
        <v>2883.61</v>
      </c>
      <c r="AY21" s="5">
        <f t="shared" si="26"/>
        <v>0</v>
      </c>
      <c r="AZ21" s="5">
        <f t="shared" si="27"/>
        <v>2883.61</v>
      </c>
      <c r="BA21" s="6" t="str">
        <f t="shared" si="28"/>
        <v/>
      </c>
    </row>
    <row r="22" spans="1:53" x14ac:dyDescent="0.25">
      <c r="A22" s="3" t="s">
        <v>35</v>
      </c>
      <c r="B22" s="5">
        <f>0</f>
        <v>0</v>
      </c>
      <c r="C22" s="4"/>
      <c r="D22" s="5">
        <f t="shared" si="1"/>
        <v>0</v>
      </c>
      <c r="E22" s="6" t="str">
        <f t="shared" si="2"/>
        <v/>
      </c>
      <c r="F22" s="5">
        <f>0</f>
        <v>0</v>
      </c>
      <c r="G22" s="4"/>
      <c r="H22" s="5">
        <f t="shared" si="3"/>
        <v>0</v>
      </c>
      <c r="I22" s="6" t="str">
        <f t="shared" si="4"/>
        <v/>
      </c>
      <c r="J22" s="5">
        <f>0</f>
        <v>0</v>
      </c>
      <c r="K22" s="4"/>
      <c r="L22" s="5">
        <f t="shared" si="5"/>
        <v>0</v>
      </c>
      <c r="M22" s="6" t="str">
        <f t="shared" si="6"/>
        <v/>
      </c>
      <c r="N22" s="5">
        <f>0</f>
        <v>0</v>
      </c>
      <c r="O22" s="4"/>
      <c r="P22" s="5">
        <f t="shared" si="7"/>
        <v>0</v>
      </c>
      <c r="Q22" s="6" t="str">
        <f t="shared" si="8"/>
        <v/>
      </c>
      <c r="R22" s="5">
        <f>0</f>
        <v>0</v>
      </c>
      <c r="S22" s="4"/>
      <c r="T22" s="5">
        <f t="shared" si="9"/>
        <v>0</v>
      </c>
      <c r="U22" s="6" t="str">
        <f t="shared" si="10"/>
        <v/>
      </c>
      <c r="V22" s="5">
        <f>0</f>
        <v>0</v>
      </c>
      <c r="W22" s="4"/>
      <c r="X22" s="5">
        <f t="shared" si="11"/>
        <v>0</v>
      </c>
      <c r="Y22" s="6" t="str">
        <f t="shared" si="12"/>
        <v/>
      </c>
      <c r="Z22" s="5">
        <f>0</f>
        <v>0</v>
      </c>
      <c r="AA22" s="4"/>
      <c r="AB22" s="5">
        <f t="shared" si="13"/>
        <v>0</v>
      </c>
      <c r="AC22" s="6" t="str">
        <f t="shared" si="14"/>
        <v/>
      </c>
      <c r="AD22" s="5">
        <f>0</f>
        <v>0</v>
      </c>
      <c r="AE22" s="4"/>
      <c r="AF22" s="5">
        <f t="shared" si="15"/>
        <v>0</v>
      </c>
      <c r="AG22" s="6" t="str">
        <f t="shared" si="16"/>
        <v/>
      </c>
      <c r="AH22" s="5">
        <f>0</f>
        <v>0</v>
      </c>
      <c r="AI22" s="4"/>
      <c r="AJ22" s="5">
        <f t="shared" si="17"/>
        <v>0</v>
      </c>
      <c r="AK22" s="6" t="str">
        <f t="shared" si="18"/>
        <v/>
      </c>
      <c r="AL22" s="5">
        <f>0</f>
        <v>0</v>
      </c>
      <c r="AM22" s="4"/>
      <c r="AN22" s="5">
        <f t="shared" si="19"/>
        <v>0</v>
      </c>
      <c r="AO22" s="6" t="str">
        <f t="shared" si="20"/>
        <v/>
      </c>
      <c r="AP22" s="5">
        <f>0</f>
        <v>0</v>
      </c>
      <c r="AQ22" s="4"/>
      <c r="AR22" s="5">
        <f t="shared" si="21"/>
        <v>0</v>
      </c>
      <c r="AS22" s="6" t="str">
        <f t="shared" si="22"/>
        <v/>
      </c>
      <c r="AT22" s="5">
        <f>0</f>
        <v>0</v>
      </c>
      <c r="AU22" s="4"/>
      <c r="AV22" s="5">
        <f t="shared" si="23"/>
        <v>0</v>
      </c>
      <c r="AW22" s="6" t="str">
        <f t="shared" si="24"/>
        <v/>
      </c>
      <c r="AX22" s="5">
        <f t="shared" si="25"/>
        <v>0</v>
      </c>
      <c r="AY22" s="5">
        <f t="shared" si="26"/>
        <v>0</v>
      </c>
      <c r="AZ22" s="5">
        <f t="shared" si="27"/>
        <v>0</v>
      </c>
      <c r="BA22" s="6" t="str">
        <f t="shared" si="28"/>
        <v/>
      </c>
    </row>
    <row r="23" spans="1:53" x14ac:dyDescent="0.25">
      <c r="A23" s="3" t="s">
        <v>36</v>
      </c>
      <c r="B23" s="7">
        <f>(((B19)+(B20))+(B21))+(B22)</f>
        <v>633.02</v>
      </c>
      <c r="C23" s="7">
        <f>(((C19)+(C20))+(C21))+(C22)</f>
        <v>733.68</v>
      </c>
      <c r="D23" s="7">
        <f t="shared" si="1"/>
        <v>-100.65999999999997</v>
      </c>
      <c r="E23" s="8">
        <f t="shared" si="2"/>
        <v>0.862801221240868</v>
      </c>
      <c r="F23" s="7">
        <f>(((F19)+(F20))+(F21))+(F22)</f>
        <v>633.02</v>
      </c>
      <c r="G23" s="7">
        <f>(((G19)+(G20))+(G21))+(G22)</f>
        <v>733.68</v>
      </c>
      <c r="H23" s="7">
        <f t="shared" si="3"/>
        <v>-100.65999999999997</v>
      </c>
      <c r="I23" s="8">
        <f t="shared" si="4"/>
        <v>0.862801221240868</v>
      </c>
      <c r="J23" s="7">
        <f>(((J19)+(J20))+(J21))+(J22)</f>
        <v>633.02</v>
      </c>
      <c r="K23" s="7">
        <f>(((K19)+(K20))+(K21))+(K22)</f>
        <v>733.68</v>
      </c>
      <c r="L23" s="7">
        <f t="shared" si="5"/>
        <v>-100.65999999999997</v>
      </c>
      <c r="M23" s="8">
        <f t="shared" si="6"/>
        <v>0.862801221240868</v>
      </c>
      <c r="N23" s="7">
        <f>(((N19)+(N20))+(N21))+(N22)</f>
        <v>949.53</v>
      </c>
      <c r="O23" s="7">
        <f>(((O19)+(O20))+(O21))+(O22)</f>
        <v>733.68</v>
      </c>
      <c r="P23" s="7">
        <f t="shared" si="7"/>
        <v>215.85000000000002</v>
      </c>
      <c r="Q23" s="8">
        <f t="shared" si="8"/>
        <v>1.294201831861302</v>
      </c>
      <c r="R23" s="7">
        <f>(((R19)+(R20))+(R21))+(R22)</f>
        <v>630.44000000000005</v>
      </c>
      <c r="S23" s="7">
        <f>(((S19)+(S20))+(S21))+(S22)</f>
        <v>733.68</v>
      </c>
      <c r="T23" s="7">
        <f t="shared" si="9"/>
        <v>-103.2399999999999</v>
      </c>
      <c r="U23" s="8">
        <f t="shared" si="10"/>
        <v>0.85928470177734173</v>
      </c>
      <c r="V23" s="7">
        <f>(((V19)+(V20))+(V21))+(V22)</f>
        <v>630.44000000000005</v>
      </c>
      <c r="W23" s="7">
        <f>(((W19)+(W20))+(W21))+(W22)</f>
        <v>733.68</v>
      </c>
      <c r="X23" s="7">
        <f t="shared" si="11"/>
        <v>-103.2399999999999</v>
      </c>
      <c r="Y23" s="8">
        <f t="shared" si="12"/>
        <v>0.85928470177734173</v>
      </c>
      <c r="Z23" s="7">
        <f>(((Z19)+(Z20))+(Z21))+(Z22)</f>
        <v>630.44000000000005</v>
      </c>
      <c r="AA23" s="7">
        <f>(((AA19)+(AA20))+(AA21))+(AA22)</f>
        <v>733.68</v>
      </c>
      <c r="AB23" s="7">
        <f t="shared" si="13"/>
        <v>-103.2399999999999</v>
      </c>
      <c r="AC23" s="8">
        <f t="shared" si="14"/>
        <v>0.85928470177734173</v>
      </c>
      <c r="AD23" s="7">
        <f>(((AD19)+(AD20))+(AD21))+(AD22)</f>
        <v>636.16</v>
      </c>
      <c r="AE23" s="7">
        <f>(((AE19)+(AE20))+(AE21))+(AE22)</f>
        <v>733.68</v>
      </c>
      <c r="AF23" s="7">
        <f t="shared" si="15"/>
        <v>-97.519999999999982</v>
      </c>
      <c r="AG23" s="8">
        <f t="shared" si="16"/>
        <v>0.86708101624686518</v>
      </c>
      <c r="AH23" s="7">
        <f>(((AH19)+(AH20))+(AH21))+(AH22)</f>
        <v>636.16</v>
      </c>
      <c r="AI23" s="7">
        <f>(((AI19)+(AI20))+(AI21))+(AI22)</f>
        <v>733.68</v>
      </c>
      <c r="AJ23" s="7">
        <f t="shared" si="17"/>
        <v>-97.519999999999982</v>
      </c>
      <c r="AK23" s="8">
        <f t="shared" si="18"/>
        <v>0.86708101624686518</v>
      </c>
      <c r="AL23" s="7">
        <f>(((AL19)+(AL20))+(AL21))+(AL22)</f>
        <v>954.24</v>
      </c>
      <c r="AM23" s="7">
        <f>(((AM19)+(AM20))+(AM21))+(AM22)</f>
        <v>733.68</v>
      </c>
      <c r="AN23" s="7">
        <f t="shared" si="19"/>
        <v>220.56000000000006</v>
      </c>
      <c r="AO23" s="8">
        <f t="shared" si="20"/>
        <v>1.3006215243702979</v>
      </c>
      <c r="AP23" s="7">
        <f>(((AP19)+(AP20))+(AP21))+(AP22)</f>
        <v>636.22</v>
      </c>
      <c r="AQ23" s="7">
        <f>(((AQ19)+(AQ20))+(AQ21))+(AQ22)</f>
        <v>733.68</v>
      </c>
      <c r="AR23" s="7">
        <f t="shared" si="21"/>
        <v>-97.459999999999923</v>
      </c>
      <c r="AS23" s="8">
        <f t="shared" si="22"/>
        <v>0.8671627957692728</v>
      </c>
      <c r="AT23" s="7">
        <f>(((AT19)+(AT20))+(AT21))+(AT22)</f>
        <v>636.16</v>
      </c>
      <c r="AU23" s="7">
        <f>(((AU19)+(AU20))+(AU21))+(AU22)</f>
        <v>733.68</v>
      </c>
      <c r="AV23" s="7">
        <f t="shared" si="23"/>
        <v>-97.519999999999982</v>
      </c>
      <c r="AW23" s="8">
        <f t="shared" si="24"/>
        <v>0.86708101624686518</v>
      </c>
      <c r="AX23" s="7">
        <f t="shared" si="25"/>
        <v>8238.85</v>
      </c>
      <c r="AY23" s="7">
        <f t="shared" si="26"/>
        <v>8804.1600000000017</v>
      </c>
      <c r="AZ23" s="7">
        <f t="shared" si="27"/>
        <v>-565.31000000000131</v>
      </c>
      <c r="BA23" s="8">
        <f t="shared" si="28"/>
        <v>0.93579058081634126</v>
      </c>
    </row>
    <row r="24" spans="1:53" x14ac:dyDescent="0.25">
      <c r="A24" s="3" t="s">
        <v>37</v>
      </c>
      <c r="B24" s="4"/>
      <c r="C24" s="5">
        <f>171.59</f>
        <v>171.59</v>
      </c>
      <c r="D24" s="5">
        <f t="shared" si="1"/>
        <v>-171.59</v>
      </c>
      <c r="E24" s="6">
        <f t="shared" si="2"/>
        <v>0</v>
      </c>
      <c r="F24" s="4"/>
      <c r="G24" s="5">
        <f>171.59</f>
        <v>171.59</v>
      </c>
      <c r="H24" s="5">
        <f t="shared" si="3"/>
        <v>-171.59</v>
      </c>
      <c r="I24" s="6">
        <f t="shared" si="4"/>
        <v>0</v>
      </c>
      <c r="J24" s="4"/>
      <c r="K24" s="5">
        <f>171.59</f>
        <v>171.59</v>
      </c>
      <c r="L24" s="5">
        <f t="shared" si="5"/>
        <v>-171.59</v>
      </c>
      <c r="M24" s="6">
        <f t="shared" si="6"/>
        <v>0</v>
      </c>
      <c r="N24" s="4"/>
      <c r="O24" s="5">
        <f>171.59</f>
        <v>171.59</v>
      </c>
      <c r="P24" s="5">
        <f t="shared" si="7"/>
        <v>-171.59</v>
      </c>
      <c r="Q24" s="6">
        <f t="shared" si="8"/>
        <v>0</v>
      </c>
      <c r="R24" s="4"/>
      <c r="S24" s="5">
        <f>171.59</f>
        <v>171.59</v>
      </c>
      <c r="T24" s="5">
        <f t="shared" si="9"/>
        <v>-171.59</v>
      </c>
      <c r="U24" s="6">
        <f t="shared" si="10"/>
        <v>0</v>
      </c>
      <c r="V24" s="4"/>
      <c r="W24" s="5">
        <f>171.59</f>
        <v>171.59</v>
      </c>
      <c r="X24" s="5">
        <f t="shared" si="11"/>
        <v>-171.59</v>
      </c>
      <c r="Y24" s="6">
        <f t="shared" si="12"/>
        <v>0</v>
      </c>
      <c r="Z24" s="4"/>
      <c r="AA24" s="5">
        <f>171.59</f>
        <v>171.59</v>
      </c>
      <c r="AB24" s="5">
        <f t="shared" si="13"/>
        <v>-171.59</v>
      </c>
      <c r="AC24" s="6">
        <f t="shared" si="14"/>
        <v>0</v>
      </c>
      <c r="AD24" s="4"/>
      <c r="AE24" s="5">
        <f>171.59</f>
        <v>171.59</v>
      </c>
      <c r="AF24" s="5">
        <f t="shared" si="15"/>
        <v>-171.59</v>
      </c>
      <c r="AG24" s="6">
        <f t="shared" si="16"/>
        <v>0</v>
      </c>
      <c r="AH24" s="4"/>
      <c r="AI24" s="5">
        <f>171.59</f>
        <v>171.59</v>
      </c>
      <c r="AJ24" s="5">
        <f t="shared" si="17"/>
        <v>-171.59</v>
      </c>
      <c r="AK24" s="6">
        <f t="shared" si="18"/>
        <v>0</v>
      </c>
      <c r="AL24" s="4"/>
      <c r="AM24" s="5">
        <f>171.59</f>
        <v>171.59</v>
      </c>
      <c r="AN24" s="5">
        <f t="shared" si="19"/>
        <v>-171.59</v>
      </c>
      <c r="AO24" s="6">
        <f t="shared" si="20"/>
        <v>0</v>
      </c>
      <c r="AP24" s="4"/>
      <c r="AQ24" s="5">
        <f>171.59</f>
        <v>171.59</v>
      </c>
      <c r="AR24" s="5">
        <f t="shared" si="21"/>
        <v>-171.59</v>
      </c>
      <c r="AS24" s="6">
        <f t="shared" si="22"/>
        <v>0</v>
      </c>
      <c r="AT24" s="4"/>
      <c r="AU24" s="5">
        <f>171.59</f>
        <v>171.59</v>
      </c>
      <c r="AV24" s="5">
        <f t="shared" si="23"/>
        <v>-171.59</v>
      </c>
      <c r="AW24" s="6">
        <f t="shared" si="24"/>
        <v>0</v>
      </c>
      <c r="AX24" s="5">
        <f t="shared" si="25"/>
        <v>0</v>
      </c>
      <c r="AY24" s="5">
        <f t="shared" si="26"/>
        <v>2059.0799999999995</v>
      </c>
      <c r="AZ24" s="5">
        <f t="shared" si="27"/>
        <v>-2059.0799999999995</v>
      </c>
      <c r="BA24" s="6">
        <f t="shared" si="28"/>
        <v>0</v>
      </c>
    </row>
    <row r="25" spans="1:53" x14ac:dyDescent="0.25">
      <c r="A25" s="3" t="s">
        <v>38</v>
      </c>
      <c r="B25" s="5">
        <f>96.23</f>
        <v>96.23</v>
      </c>
      <c r="C25" s="4"/>
      <c r="D25" s="5">
        <f t="shared" si="1"/>
        <v>96.23</v>
      </c>
      <c r="E25" s="6" t="str">
        <f t="shared" si="2"/>
        <v/>
      </c>
      <c r="F25" s="5">
        <f>96.23</f>
        <v>96.23</v>
      </c>
      <c r="G25" s="4"/>
      <c r="H25" s="5">
        <f t="shared" si="3"/>
        <v>96.23</v>
      </c>
      <c r="I25" s="6" t="str">
        <f t="shared" si="4"/>
        <v/>
      </c>
      <c r="J25" s="5">
        <f>96.23</f>
        <v>96.23</v>
      </c>
      <c r="K25" s="4"/>
      <c r="L25" s="5">
        <f t="shared" si="5"/>
        <v>96.23</v>
      </c>
      <c r="M25" s="6" t="str">
        <f t="shared" si="6"/>
        <v/>
      </c>
      <c r="N25" s="5">
        <f>144.34</f>
        <v>144.34</v>
      </c>
      <c r="O25" s="4"/>
      <c r="P25" s="5">
        <f t="shared" si="7"/>
        <v>144.34</v>
      </c>
      <c r="Q25" s="6" t="str">
        <f t="shared" si="8"/>
        <v/>
      </c>
      <c r="R25" s="5">
        <f>95.84</f>
        <v>95.84</v>
      </c>
      <c r="S25" s="4"/>
      <c r="T25" s="5">
        <f t="shared" si="9"/>
        <v>95.84</v>
      </c>
      <c r="U25" s="6" t="str">
        <f t="shared" si="10"/>
        <v/>
      </c>
      <c r="V25" s="5">
        <f>95.84</f>
        <v>95.84</v>
      </c>
      <c r="W25" s="4"/>
      <c r="X25" s="5">
        <f t="shared" si="11"/>
        <v>95.84</v>
      </c>
      <c r="Y25" s="6" t="str">
        <f t="shared" si="12"/>
        <v/>
      </c>
      <c r="Z25" s="5">
        <f>95.84</f>
        <v>95.84</v>
      </c>
      <c r="AA25" s="4"/>
      <c r="AB25" s="5">
        <f t="shared" si="13"/>
        <v>95.84</v>
      </c>
      <c r="AC25" s="6" t="str">
        <f t="shared" si="14"/>
        <v/>
      </c>
      <c r="AD25" s="5">
        <f>96.71</f>
        <v>96.71</v>
      </c>
      <c r="AE25" s="4"/>
      <c r="AF25" s="5">
        <f t="shared" si="15"/>
        <v>96.71</v>
      </c>
      <c r="AG25" s="6" t="str">
        <f t="shared" si="16"/>
        <v/>
      </c>
      <c r="AH25" s="5">
        <f>96.71</f>
        <v>96.71</v>
      </c>
      <c r="AI25" s="4"/>
      <c r="AJ25" s="5">
        <f t="shared" si="17"/>
        <v>96.71</v>
      </c>
      <c r="AK25" s="6" t="str">
        <f t="shared" si="18"/>
        <v/>
      </c>
      <c r="AL25" s="5">
        <f>145.06</f>
        <v>145.06</v>
      </c>
      <c r="AM25" s="4"/>
      <c r="AN25" s="5">
        <f t="shared" si="19"/>
        <v>145.06</v>
      </c>
      <c r="AO25" s="6" t="str">
        <f t="shared" si="20"/>
        <v/>
      </c>
      <c r="AP25" s="5">
        <f>96.71</f>
        <v>96.71</v>
      </c>
      <c r="AQ25" s="4"/>
      <c r="AR25" s="5">
        <f t="shared" si="21"/>
        <v>96.71</v>
      </c>
      <c r="AS25" s="6" t="str">
        <f t="shared" si="22"/>
        <v/>
      </c>
      <c r="AT25" s="5">
        <f>96.71</f>
        <v>96.71</v>
      </c>
      <c r="AU25" s="4"/>
      <c r="AV25" s="5">
        <f t="shared" si="23"/>
        <v>96.71</v>
      </c>
      <c r="AW25" s="6" t="str">
        <f t="shared" si="24"/>
        <v/>
      </c>
      <c r="AX25" s="5">
        <f t="shared" si="25"/>
        <v>1252.4500000000003</v>
      </c>
      <c r="AY25" s="5">
        <f t="shared" si="26"/>
        <v>0</v>
      </c>
      <c r="AZ25" s="5">
        <f t="shared" si="27"/>
        <v>1252.4500000000003</v>
      </c>
      <c r="BA25" s="6" t="str">
        <f t="shared" si="28"/>
        <v/>
      </c>
    </row>
    <row r="26" spans="1:53" x14ac:dyDescent="0.25">
      <c r="A26" s="3" t="s">
        <v>39</v>
      </c>
      <c r="B26" s="5">
        <f>51.81</f>
        <v>51.81</v>
      </c>
      <c r="C26" s="4"/>
      <c r="D26" s="5">
        <f t="shared" si="1"/>
        <v>51.81</v>
      </c>
      <c r="E26" s="6" t="str">
        <f t="shared" si="2"/>
        <v/>
      </c>
      <c r="F26" s="5">
        <f>51.81</f>
        <v>51.81</v>
      </c>
      <c r="G26" s="4"/>
      <c r="H26" s="5">
        <f t="shared" si="3"/>
        <v>51.81</v>
      </c>
      <c r="I26" s="6" t="str">
        <f t="shared" si="4"/>
        <v/>
      </c>
      <c r="J26" s="5">
        <f>51.81</f>
        <v>51.81</v>
      </c>
      <c r="K26" s="4"/>
      <c r="L26" s="5">
        <f t="shared" si="5"/>
        <v>51.81</v>
      </c>
      <c r="M26" s="6" t="str">
        <f t="shared" si="6"/>
        <v/>
      </c>
      <c r="N26" s="5">
        <f>77.72</f>
        <v>77.72</v>
      </c>
      <c r="O26" s="4"/>
      <c r="P26" s="5">
        <f t="shared" si="7"/>
        <v>77.72</v>
      </c>
      <c r="Q26" s="6" t="str">
        <f t="shared" si="8"/>
        <v/>
      </c>
      <c r="R26" s="5">
        <f>51.6</f>
        <v>51.6</v>
      </c>
      <c r="S26" s="4"/>
      <c r="T26" s="5">
        <f t="shared" si="9"/>
        <v>51.6</v>
      </c>
      <c r="U26" s="6" t="str">
        <f t="shared" si="10"/>
        <v/>
      </c>
      <c r="V26" s="5">
        <f>51.6</f>
        <v>51.6</v>
      </c>
      <c r="W26" s="4"/>
      <c r="X26" s="5">
        <f t="shared" si="11"/>
        <v>51.6</v>
      </c>
      <c r="Y26" s="6" t="str">
        <f t="shared" si="12"/>
        <v/>
      </c>
      <c r="Z26" s="5">
        <f>51.6</f>
        <v>51.6</v>
      </c>
      <c r="AA26" s="4"/>
      <c r="AB26" s="5">
        <f t="shared" si="13"/>
        <v>51.6</v>
      </c>
      <c r="AC26" s="6" t="str">
        <f t="shared" si="14"/>
        <v/>
      </c>
      <c r="AD26" s="5">
        <f>52.07</f>
        <v>52.07</v>
      </c>
      <c r="AE26" s="4"/>
      <c r="AF26" s="5">
        <f t="shared" si="15"/>
        <v>52.07</v>
      </c>
      <c r="AG26" s="6" t="str">
        <f t="shared" si="16"/>
        <v/>
      </c>
      <c r="AH26" s="5">
        <f>52.07</f>
        <v>52.07</v>
      </c>
      <c r="AI26" s="4"/>
      <c r="AJ26" s="5">
        <f t="shared" si="17"/>
        <v>52.07</v>
      </c>
      <c r="AK26" s="6" t="str">
        <f t="shared" si="18"/>
        <v/>
      </c>
      <c r="AL26" s="5">
        <f>78.11</f>
        <v>78.11</v>
      </c>
      <c r="AM26" s="4"/>
      <c r="AN26" s="5">
        <f t="shared" si="19"/>
        <v>78.11</v>
      </c>
      <c r="AO26" s="6" t="str">
        <f t="shared" si="20"/>
        <v/>
      </c>
      <c r="AP26" s="5">
        <f>52.07</f>
        <v>52.07</v>
      </c>
      <c r="AQ26" s="4"/>
      <c r="AR26" s="5">
        <f t="shared" si="21"/>
        <v>52.07</v>
      </c>
      <c r="AS26" s="6" t="str">
        <f t="shared" si="22"/>
        <v/>
      </c>
      <c r="AT26" s="5">
        <f>52.07</f>
        <v>52.07</v>
      </c>
      <c r="AU26" s="4"/>
      <c r="AV26" s="5">
        <f t="shared" si="23"/>
        <v>52.07</v>
      </c>
      <c r="AW26" s="6" t="str">
        <f t="shared" si="24"/>
        <v/>
      </c>
      <c r="AX26" s="5">
        <f t="shared" si="25"/>
        <v>674.34000000000015</v>
      </c>
      <c r="AY26" s="5">
        <f t="shared" si="26"/>
        <v>0</v>
      </c>
      <c r="AZ26" s="5">
        <f t="shared" si="27"/>
        <v>674.34000000000015</v>
      </c>
      <c r="BA26" s="6" t="str">
        <f t="shared" si="28"/>
        <v/>
      </c>
    </row>
    <row r="27" spans="1:53" x14ac:dyDescent="0.25">
      <c r="A27" s="3" t="s">
        <v>40</v>
      </c>
      <c r="B27" s="5">
        <f>0</f>
        <v>0</v>
      </c>
      <c r="C27" s="4"/>
      <c r="D27" s="5">
        <f t="shared" si="1"/>
        <v>0</v>
      </c>
      <c r="E27" s="6" t="str">
        <f t="shared" si="2"/>
        <v/>
      </c>
      <c r="F27" s="5">
        <f>0</f>
        <v>0</v>
      </c>
      <c r="G27" s="4"/>
      <c r="H27" s="5">
        <f t="shared" si="3"/>
        <v>0</v>
      </c>
      <c r="I27" s="6" t="str">
        <f t="shared" si="4"/>
        <v/>
      </c>
      <c r="J27" s="5">
        <f>0</f>
        <v>0</v>
      </c>
      <c r="K27" s="4"/>
      <c r="L27" s="5">
        <f t="shared" si="5"/>
        <v>0</v>
      </c>
      <c r="M27" s="6" t="str">
        <f t="shared" si="6"/>
        <v/>
      </c>
      <c r="N27" s="5">
        <f>0</f>
        <v>0</v>
      </c>
      <c r="O27" s="4"/>
      <c r="P27" s="5">
        <f t="shared" si="7"/>
        <v>0</v>
      </c>
      <c r="Q27" s="6" t="str">
        <f t="shared" si="8"/>
        <v/>
      </c>
      <c r="R27" s="5">
        <f>0</f>
        <v>0</v>
      </c>
      <c r="S27" s="4"/>
      <c r="T27" s="5">
        <f t="shared" si="9"/>
        <v>0</v>
      </c>
      <c r="U27" s="6" t="str">
        <f t="shared" si="10"/>
        <v/>
      </c>
      <c r="V27" s="5">
        <f>0</f>
        <v>0</v>
      </c>
      <c r="W27" s="4"/>
      <c r="X27" s="5">
        <f t="shared" si="11"/>
        <v>0</v>
      </c>
      <c r="Y27" s="6" t="str">
        <f t="shared" si="12"/>
        <v/>
      </c>
      <c r="Z27" s="5">
        <f>0</f>
        <v>0</v>
      </c>
      <c r="AA27" s="4"/>
      <c r="AB27" s="5">
        <f t="shared" si="13"/>
        <v>0</v>
      </c>
      <c r="AC27" s="6" t="str">
        <f t="shared" si="14"/>
        <v/>
      </c>
      <c r="AD27" s="5">
        <f>0</f>
        <v>0</v>
      </c>
      <c r="AE27" s="4"/>
      <c r="AF27" s="5">
        <f t="shared" si="15"/>
        <v>0</v>
      </c>
      <c r="AG27" s="6" t="str">
        <f t="shared" si="16"/>
        <v/>
      </c>
      <c r="AH27" s="5">
        <f>0</f>
        <v>0</v>
      </c>
      <c r="AI27" s="4"/>
      <c r="AJ27" s="5">
        <f t="shared" si="17"/>
        <v>0</v>
      </c>
      <c r="AK27" s="6" t="str">
        <f t="shared" si="18"/>
        <v/>
      </c>
      <c r="AL27" s="5">
        <f>0</f>
        <v>0</v>
      </c>
      <c r="AM27" s="4"/>
      <c r="AN27" s="5">
        <f t="shared" si="19"/>
        <v>0</v>
      </c>
      <c r="AO27" s="6" t="str">
        <f t="shared" si="20"/>
        <v/>
      </c>
      <c r="AP27" s="5">
        <f>0</f>
        <v>0</v>
      </c>
      <c r="AQ27" s="4"/>
      <c r="AR27" s="5">
        <f t="shared" si="21"/>
        <v>0</v>
      </c>
      <c r="AS27" s="6" t="str">
        <f t="shared" si="22"/>
        <v/>
      </c>
      <c r="AT27" s="5">
        <f>0</f>
        <v>0</v>
      </c>
      <c r="AU27" s="4"/>
      <c r="AV27" s="5">
        <f t="shared" si="23"/>
        <v>0</v>
      </c>
      <c r="AW27" s="6" t="str">
        <f t="shared" si="24"/>
        <v/>
      </c>
      <c r="AX27" s="5">
        <f t="shared" si="25"/>
        <v>0</v>
      </c>
      <c r="AY27" s="5">
        <f t="shared" si="26"/>
        <v>0</v>
      </c>
      <c r="AZ27" s="5">
        <f t="shared" si="27"/>
        <v>0</v>
      </c>
      <c r="BA27" s="6" t="str">
        <f t="shared" si="28"/>
        <v/>
      </c>
    </row>
    <row r="28" spans="1:53" x14ac:dyDescent="0.25">
      <c r="A28" s="3" t="s">
        <v>41</v>
      </c>
      <c r="B28" s="7">
        <f>(((B24)+(B25))+(B26))+(B27)</f>
        <v>148.04000000000002</v>
      </c>
      <c r="C28" s="7">
        <f>(((C24)+(C25))+(C26))+(C27)</f>
        <v>171.59</v>
      </c>
      <c r="D28" s="7">
        <f t="shared" si="1"/>
        <v>-23.549999999999983</v>
      </c>
      <c r="E28" s="8">
        <f t="shared" si="2"/>
        <v>0.86275423975756171</v>
      </c>
      <c r="F28" s="7">
        <f>(((F24)+(F25))+(F26))+(F27)</f>
        <v>148.04000000000002</v>
      </c>
      <c r="G28" s="7">
        <f>(((G24)+(G25))+(G26))+(G27)</f>
        <v>171.59</v>
      </c>
      <c r="H28" s="7">
        <f t="shared" si="3"/>
        <v>-23.549999999999983</v>
      </c>
      <c r="I28" s="8">
        <f t="shared" si="4"/>
        <v>0.86275423975756171</v>
      </c>
      <c r="J28" s="7">
        <f>(((J24)+(J25))+(J26))+(J27)</f>
        <v>148.04000000000002</v>
      </c>
      <c r="K28" s="7">
        <f>(((K24)+(K25))+(K26))+(K27)</f>
        <v>171.59</v>
      </c>
      <c r="L28" s="7">
        <f t="shared" si="5"/>
        <v>-23.549999999999983</v>
      </c>
      <c r="M28" s="8">
        <f t="shared" si="6"/>
        <v>0.86275423975756171</v>
      </c>
      <c r="N28" s="7">
        <f>(((N24)+(N25))+(N26))+(N27)</f>
        <v>222.06</v>
      </c>
      <c r="O28" s="7">
        <f>(((O24)+(O25))+(O26))+(O27)</f>
        <v>171.59</v>
      </c>
      <c r="P28" s="7">
        <f t="shared" si="7"/>
        <v>50.47</v>
      </c>
      <c r="Q28" s="8">
        <f t="shared" si="8"/>
        <v>1.2941313596363424</v>
      </c>
      <c r="R28" s="7">
        <f>(((R24)+(R25))+(R26))+(R27)</f>
        <v>147.44</v>
      </c>
      <c r="S28" s="7">
        <f>(((S24)+(S25))+(S26))+(S27)</f>
        <v>171.59</v>
      </c>
      <c r="T28" s="7">
        <f t="shared" si="9"/>
        <v>-24.150000000000006</v>
      </c>
      <c r="U28" s="8">
        <f t="shared" si="10"/>
        <v>0.85925753249023828</v>
      </c>
      <c r="V28" s="7">
        <f>(((V24)+(V25))+(V26))+(V27)</f>
        <v>147.44</v>
      </c>
      <c r="W28" s="7">
        <f>(((W24)+(W25))+(W26))+(W27)</f>
        <v>171.59</v>
      </c>
      <c r="X28" s="7">
        <f t="shared" si="11"/>
        <v>-24.150000000000006</v>
      </c>
      <c r="Y28" s="8">
        <f t="shared" si="12"/>
        <v>0.85925753249023828</v>
      </c>
      <c r="Z28" s="7">
        <f>(((Z24)+(Z25))+(Z26))+(Z27)</f>
        <v>147.44</v>
      </c>
      <c r="AA28" s="7">
        <f>(((AA24)+(AA25))+(AA26))+(AA27)</f>
        <v>171.59</v>
      </c>
      <c r="AB28" s="7">
        <f t="shared" si="13"/>
        <v>-24.150000000000006</v>
      </c>
      <c r="AC28" s="8">
        <f t="shared" si="14"/>
        <v>0.85925753249023828</v>
      </c>
      <c r="AD28" s="7">
        <f>(((AD24)+(AD25))+(AD26))+(AD27)</f>
        <v>148.78</v>
      </c>
      <c r="AE28" s="7">
        <f>(((AE24)+(AE25))+(AE26))+(AE27)</f>
        <v>171.59</v>
      </c>
      <c r="AF28" s="7">
        <f t="shared" si="15"/>
        <v>-22.810000000000002</v>
      </c>
      <c r="AG28" s="8">
        <f t="shared" si="16"/>
        <v>0.86706684538726031</v>
      </c>
      <c r="AH28" s="7">
        <f>(((AH24)+(AH25))+(AH26))+(AH27)</f>
        <v>148.78</v>
      </c>
      <c r="AI28" s="7">
        <f>(((AI24)+(AI25))+(AI26))+(AI27)</f>
        <v>171.59</v>
      </c>
      <c r="AJ28" s="7">
        <f t="shared" si="17"/>
        <v>-22.810000000000002</v>
      </c>
      <c r="AK28" s="8">
        <f t="shared" si="18"/>
        <v>0.86706684538726031</v>
      </c>
      <c r="AL28" s="7">
        <f>(((AL24)+(AL25))+(AL26))+(AL27)</f>
        <v>223.17000000000002</v>
      </c>
      <c r="AM28" s="7">
        <f>(((AM24)+(AM25))+(AM26))+(AM27)</f>
        <v>171.59</v>
      </c>
      <c r="AN28" s="7">
        <f t="shared" si="19"/>
        <v>51.580000000000013</v>
      </c>
      <c r="AO28" s="8">
        <f t="shared" si="20"/>
        <v>1.3006002680808906</v>
      </c>
      <c r="AP28" s="7">
        <f>(((AP24)+(AP25))+(AP26))+(AP27)</f>
        <v>148.78</v>
      </c>
      <c r="AQ28" s="7">
        <f>(((AQ24)+(AQ25))+(AQ26))+(AQ27)</f>
        <v>171.59</v>
      </c>
      <c r="AR28" s="7">
        <f t="shared" si="21"/>
        <v>-22.810000000000002</v>
      </c>
      <c r="AS28" s="8">
        <f t="shared" si="22"/>
        <v>0.86706684538726031</v>
      </c>
      <c r="AT28" s="7">
        <f>(((AT24)+(AT25))+(AT26))+(AT27)</f>
        <v>148.78</v>
      </c>
      <c r="AU28" s="7">
        <f>(((AU24)+(AU25))+(AU26))+(AU27)</f>
        <v>171.59</v>
      </c>
      <c r="AV28" s="7">
        <f t="shared" si="23"/>
        <v>-22.810000000000002</v>
      </c>
      <c r="AW28" s="8">
        <f t="shared" si="24"/>
        <v>0.86706684538726031</v>
      </c>
      <c r="AX28" s="7">
        <f t="shared" si="25"/>
        <v>1926.7900000000002</v>
      </c>
      <c r="AY28" s="7">
        <f t="shared" si="26"/>
        <v>2059.0799999999995</v>
      </c>
      <c r="AZ28" s="7">
        <f t="shared" si="27"/>
        <v>-132.28999999999928</v>
      </c>
      <c r="BA28" s="8">
        <f t="shared" si="28"/>
        <v>0.93575286050080653</v>
      </c>
    </row>
    <row r="29" spans="1:53" x14ac:dyDescent="0.25">
      <c r="A29" s="3" t="s">
        <v>42</v>
      </c>
      <c r="B29" s="4"/>
      <c r="C29" s="5">
        <f>99.17</f>
        <v>99.17</v>
      </c>
      <c r="D29" s="5">
        <f t="shared" si="1"/>
        <v>-99.17</v>
      </c>
      <c r="E29" s="6">
        <f t="shared" si="2"/>
        <v>0</v>
      </c>
      <c r="F29" s="4"/>
      <c r="G29" s="5">
        <f>99.17</f>
        <v>99.17</v>
      </c>
      <c r="H29" s="5">
        <f t="shared" si="3"/>
        <v>-99.17</v>
      </c>
      <c r="I29" s="6">
        <f t="shared" si="4"/>
        <v>0</v>
      </c>
      <c r="J29" s="4"/>
      <c r="K29" s="5">
        <f>99.17</f>
        <v>99.17</v>
      </c>
      <c r="L29" s="5">
        <f t="shared" si="5"/>
        <v>-99.17</v>
      </c>
      <c r="M29" s="6">
        <f t="shared" si="6"/>
        <v>0</v>
      </c>
      <c r="N29" s="4"/>
      <c r="O29" s="5">
        <f>99.17</f>
        <v>99.17</v>
      </c>
      <c r="P29" s="5">
        <f t="shared" si="7"/>
        <v>-99.17</v>
      </c>
      <c r="Q29" s="6">
        <f t="shared" si="8"/>
        <v>0</v>
      </c>
      <c r="R29" s="4"/>
      <c r="S29" s="5">
        <f>99.17</f>
        <v>99.17</v>
      </c>
      <c r="T29" s="5">
        <f t="shared" si="9"/>
        <v>-99.17</v>
      </c>
      <c r="U29" s="6">
        <f t="shared" si="10"/>
        <v>0</v>
      </c>
      <c r="V29" s="4"/>
      <c r="W29" s="5">
        <f>99.17</f>
        <v>99.17</v>
      </c>
      <c r="X29" s="5">
        <f t="shared" si="11"/>
        <v>-99.17</v>
      </c>
      <c r="Y29" s="6">
        <f t="shared" si="12"/>
        <v>0</v>
      </c>
      <c r="Z29" s="4"/>
      <c r="AA29" s="5">
        <f>99.17</f>
        <v>99.17</v>
      </c>
      <c r="AB29" s="5">
        <f t="shared" si="13"/>
        <v>-99.17</v>
      </c>
      <c r="AC29" s="6">
        <f t="shared" si="14"/>
        <v>0</v>
      </c>
      <c r="AD29" s="4"/>
      <c r="AE29" s="5">
        <f>99.17</f>
        <v>99.17</v>
      </c>
      <c r="AF29" s="5">
        <f t="shared" si="15"/>
        <v>-99.17</v>
      </c>
      <c r="AG29" s="6">
        <f t="shared" si="16"/>
        <v>0</v>
      </c>
      <c r="AH29" s="4"/>
      <c r="AI29" s="5">
        <f>99.17</f>
        <v>99.17</v>
      </c>
      <c r="AJ29" s="5">
        <f t="shared" si="17"/>
        <v>-99.17</v>
      </c>
      <c r="AK29" s="6">
        <f t="shared" si="18"/>
        <v>0</v>
      </c>
      <c r="AL29" s="4"/>
      <c r="AM29" s="5">
        <f>99.17</f>
        <v>99.17</v>
      </c>
      <c r="AN29" s="5">
        <f t="shared" si="19"/>
        <v>-99.17</v>
      </c>
      <c r="AO29" s="6">
        <f t="shared" si="20"/>
        <v>0</v>
      </c>
      <c r="AP29" s="4"/>
      <c r="AQ29" s="5">
        <f>99.17</f>
        <v>99.17</v>
      </c>
      <c r="AR29" s="5">
        <f t="shared" si="21"/>
        <v>-99.17</v>
      </c>
      <c r="AS29" s="6">
        <f t="shared" si="22"/>
        <v>0</v>
      </c>
      <c r="AT29" s="4"/>
      <c r="AU29" s="5">
        <f>99.17</f>
        <v>99.17</v>
      </c>
      <c r="AV29" s="5">
        <f t="shared" si="23"/>
        <v>-99.17</v>
      </c>
      <c r="AW29" s="6">
        <f t="shared" si="24"/>
        <v>0</v>
      </c>
      <c r="AX29" s="5">
        <f t="shared" si="25"/>
        <v>0</v>
      </c>
      <c r="AY29" s="5">
        <f t="shared" si="26"/>
        <v>1190.04</v>
      </c>
      <c r="AZ29" s="5">
        <f t="shared" si="27"/>
        <v>-1190.04</v>
      </c>
      <c r="BA29" s="6">
        <f t="shared" si="28"/>
        <v>0</v>
      </c>
    </row>
    <row r="30" spans="1:53" x14ac:dyDescent="0.25">
      <c r="A30" s="3" t="s">
        <v>43</v>
      </c>
      <c r="B30" s="4"/>
      <c r="C30" s="4"/>
      <c r="D30" s="5">
        <f t="shared" si="1"/>
        <v>0</v>
      </c>
      <c r="E30" s="6" t="str">
        <f t="shared" si="2"/>
        <v/>
      </c>
      <c r="F30" s="5">
        <f>39.87</f>
        <v>39.869999999999997</v>
      </c>
      <c r="G30" s="4"/>
      <c r="H30" s="5">
        <f t="shared" si="3"/>
        <v>39.869999999999997</v>
      </c>
      <c r="I30" s="6" t="str">
        <f t="shared" si="4"/>
        <v/>
      </c>
      <c r="J30" s="4"/>
      <c r="K30" s="4"/>
      <c r="L30" s="5">
        <f t="shared" si="5"/>
        <v>0</v>
      </c>
      <c r="M30" s="6" t="str">
        <f t="shared" si="6"/>
        <v/>
      </c>
      <c r="N30" s="5">
        <f>189.43</f>
        <v>189.43</v>
      </c>
      <c r="O30" s="4"/>
      <c r="P30" s="5">
        <f t="shared" si="7"/>
        <v>189.43</v>
      </c>
      <c r="Q30" s="6" t="str">
        <f t="shared" si="8"/>
        <v/>
      </c>
      <c r="R30" s="5">
        <f>39.9</f>
        <v>39.9</v>
      </c>
      <c r="S30" s="4"/>
      <c r="T30" s="5">
        <f t="shared" si="9"/>
        <v>39.9</v>
      </c>
      <c r="U30" s="6" t="str">
        <f t="shared" si="10"/>
        <v/>
      </c>
      <c r="V30" s="4"/>
      <c r="W30" s="4"/>
      <c r="X30" s="5">
        <f t="shared" si="11"/>
        <v>0</v>
      </c>
      <c r="Y30" s="6" t="str">
        <f t="shared" si="12"/>
        <v/>
      </c>
      <c r="Z30" s="4"/>
      <c r="AA30" s="4"/>
      <c r="AB30" s="5">
        <f t="shared" si="13"/>
        <v>0</v>
      </c>
      <c r="AC30" s="6" t="str">
        <f t="shared" si="14"/>
        <v/>
      </c>
      <c r="AD30" s="4"/>
      <c r="AE30" s="4"/>
      <c r="AF30" s="5">
        <f t="shared" si="15"/>
        <v>0</v>
      </c>
      <c r="AG30" s="6" t="str">
        <f t="shared" si="16"/>
        <v/>
      </c>
      <c r="AH30" s="5">
        <f>1028.3</f>
        <v>1028.3</v>
      </c>
      <c r="AI30" s="4"/>
      <c r="AJ30" s="5">
        <f t="shared" si="17"/>
        <v>1028.3</v>
      </c>
      <c r="AK30" s="6" t="str">
        <f t="shared" si="18"/>
        <v/>
      </c>
      <c r="AL30" s="4"/>
      <c r="AM30" s="4"/>
      <c r="AN30" s="5">
        <f t="shared" si="19"/>
        <v>0</v>
      </c>
      <c r="AO30" s="6" t="str">
        <f t="shared" si="20"/>
        <v/>
      </c>
      <c r="AP30" s="4"/>
      <c r="AQ30" s="4"/>
      <c r="AR30" s="5">
        <f t="shared" si="21"/>
        <v>0</v>
      </c>
      <c r="AS30" s="6" t="str">
        <f t="shared" si="22"/>
        <v/>
      </c>
      <c r="AT30" s="4"/>
      <c r="AU30" s="4"/>
      <c r="AV30" s="5">
        <f t="shared" si="23"/>
        <v>0</v>
      </c>
      <c r="AW30" s="6" t="str">
        <f t="shared" si="24"/>
        <v/>
      </c>
      <c r="AX30" s="5">
        <f t="shared" si="25"/>
        <v>1297.5</v>
      </c>
      <c r="AY30" s="5">
        <f t="shared" si="26"/>
        <v>0</v>
      </c>
      <c r="AZ30" s="5">
        <f t="shared" si="27"/>
        <v>1297.5</v>
      </c>
      <c r="BA30" s="6" t="str">
        <f t="shared" si="28"/>
        <v/>
      </c>
    </row>
    <row r="31" spans="1:53" x14ac:dyDescent="0.25">
      <c r="A31" s="3" t="s">
        <v>44</v>
      </c>
      <c r="B31" s="4"/>
      <c r="C31" s="4"/>
      <c r="D31" s="5">
        <f t="shared" si="1"/>
        <v>0</v>
      </c>
      <c r="E31" s="6" t="str">
        <f t="shared" si="2"/>
        <v/>
      </c>
      <c r="F31" s="5">
        <f>21.47</f>
        <v>21.47</v>
      </c>
      <c r="G31" s="4"/>
      <c r="H31" s="5">
        <f t="shared" si="3"/>
        <v>21.47</v>
      </c>
      <c r="I31" s="6" t="str">
        <f t="shared" si="4"/>
        <v/>
      </c>
      <c r="J31" s="4"/>
      <c r="K31" s="4"/>
      <c r="L31" s="5">
        <f t="shared" si="5"/>
        <v>0</v>
      </c>
      <c r="M31" s="6" t="str">
        <f t="shared" si="6"/>
        <v/>
      </c>
      <c r="N31" s="5">
        <f>102</f>
        <v>102</v>
      </c>
      <c r="O31" s="4"/>
      <c r="P31" s="5">
        <f t="shared" si="7"/>
        <v>102</v>
      </c>
      <c r="Q31" s="6" t="str">
        <f t="shared" si="8"/>
        <v/>
      </c>
      <c r="R31" s="5">
        <f>21.49</f>
        <v>21.49</v>
      </c>
      <c r="S31" s="4"/>
      <c r="T31" s="5">
        <f t="shared" si="9"/>
        <v>21.49</v>
      </c>
      <c r="U31" s="6" t="str">
        <f t="shared" si="10"/>
        <v/>
      </c>
      <c r="V31" s="4"/>
      <c r="W31" s="4"/>
      <c r="X31" s="5">
        <f t="shared" si="11"/>
        <v>0</v>
      </c>
      <c r="Y31" s="6" t="str">
        <f t="shared" si="12"/>
        <v/>
      </c>
      <c r="Z31" s="4"/>
      <c r="AA31" s="4"/>
      <c r="AB31" s="5">
        <f t="shared" si="13"/>
        <v>0</v>
      </c>
      <c r="AC31" s="6" t="str">
        <f t="shared" si="14"/>
        <v/>
      </c>
      <c r="AD31" s="4"/>
      <c r="AE31" s="4"/>
      <c r="AF31" s="5">
        <f t="shared" si="15"/>
        <v>0</v>
      </c>
      <c r="AG31" s="6" t="str">
        <f t="shared" si="16"/>
        <v/>
      </c>
      <c r="AH31" s="5">
        <f>553.7</f>
        <v>553.70000000000005</v>
      </c>
      <c r="AI31" s="4"/>
      <c r="AJ31" s="5">
        <f t="shared" si="17"/>
        <v>553.70000000000005</v>
      </c>
      <c r="AK31" s="6" t="str">
        <f t="shared" si="18"/>
        <v/>
      </c>
      <c r="AL31" s="4"/>
      <c r="AM31" s="4"/>
      <c r="AN31" s="5">
        <f t="shared" si="19"/>
        <v>0</v>
      </c>
      <c r="AO31" s="6" t="str">
        <f t="shared" si="20"/>
        <v/>
      </c>
      <c r="AP31" s="4"/>
      <c r="AQ31" s="4"/>
      <c r="AR31" s="5">
        <f t="shared" si="21"/>
        <v>0</v>
      </c>
      <c r="AS31" s="6" t="str">
        <f t="shared" si="22"/>
        <v/>
      </c>
      <c r="AT31" s="4"/>
      <c r="AU31" s="4"/>
      <c r="AV31" s="5">
        <f t="shared" si="23"/>
        <v>0</v>
      </c>
      <c r="AW31" s="6" t="str">
        <f t="shared" si="24"/>
        <v/>
      </c>
      <c r="AX31" s="5">
        <f t="shared" si="25"/>
        <v>698.66000000000008</v>
      </c>
      <c r="AY31" s="5">
        <f t="shared" si="26"/>
        <v>0</v>
      </c>
      <c r="AZ31" s="5">
        <f t="shared" si="27"/>
        <v>698.66000000000008</v>
      </c>
      <c r="BA31" s="6" t="str">
        <f t="shared" si="28"/>
        <v/>
      </c>
    </row>
    <row r="32" spans="1:53" x14ac:dyDescent="0.25">
      <c r="A32" s="3" t="s">
        <v>45</v>
      </c>
      <c r="B32" s="4"/>
      <c r="C32" s="4"/>
      <c r="D32" s="5">
        <f t="shared" si="1"/>
        <v>0</v>
      </c>
      <c r="E32" s="6" t="str">
        <f t="shared" si="2"/>
        <v/>
      </c>
      <c r="F32" s="5">
        <f>0</f>
        <v>0</v>
      </c>
      <c r="G32" s="4"/>
      <c r="H32" s="5">
        <f t="shared" si="3"/>
        <v>0</v>
      </c>
      <c r="I32" s="6" t="str">
        <f t="shared" si="4"/>
        <v/>
      </c>
      <c r="J32" s="4"/>
      <c r="K32" s="4"/>
      <c r="L32" s="5">
        <f t="shared" si="5"/>
        <v>0</v>
      </c>
      <c r="M32" s="6" t="str">
        <f t="shared" si="6"/>
        <v/>
      </c>
      <c r="N32" s="5">
        <f>0</f>
        <v>0</v>
      </c>
      <c r="O32" s="4"/>
      <c r="P32" s="5">
        <f t="shared" si="7"/>
        <v>0</v>
      </c>
      <c r="Q32" s="6" t="str">
        <f t="shared" si="8"/>
        <v/>
      </c>
      <c r="R32" s="5">
        <f>0</f>
        <v>0</v>
      </c>
      <c r="S32" s="4"/>
      <c r="T32" s="5">
        <f t="shared" si="9"/>
        <v>0</v>
      </c>
      <c r="U32" s="6" t="str">
        <f t="shared" si="10"/>
        <v/>
      </c>
      <c r="V32" s="5">
        <f>0</f>
        <v>0</v>
      </c>
      <c r="W32" s="4"/>
      <c r="X32" s="5">
        <f t="shared" si="11"/>
        <v>0</v>
      </c>
      <c r="Y32" s="6" t="str">
        <f t="shared" si="12"/>
        <v/>
      </c>
      <c r="Z32" s="5">
        <f>0</f>
        <v>0</v>
      </c>
      <c r="AA32" s="4"/>
      <c r="AB32" s="5">
        <f t="shared" si="13"/>
        <v>0</v>
      </c>
      <c r="AC32" s="6" t="str">
        <f t="shared" si="14"/>
        <v/>
      </c>
      <c r="AD32" s="5">
        <f>0</f>
        <v>0</v>
      </c>
      <c r="AE32" s="4"/>
      <c r="AF32" s="5">
        <f t="shared" si="15"/>
        <v>0</v>
      </c>
      <c r="AG32" s="6" t="str">
        <f t="shared" si="16"/>
        <v/>
      </c>
      <c r="AH32" s="5">
        <f>0</f>
        <v>0</v>
      </c>
      <c r="AI32" s="4"/>
      <c r="AJ32" s="5">
        <f t="shared" si="17"/>
        <v>0</v>
      </c>
      <c r="AK32" s="6" t="str">
        <f t="shared" si="18"/>
        <v/>
      </c>
      <c r="AL32" s="5">
        <f>0</f>
        <v>0</v>
      </c>
      <c r="AM32" s="4"/>
      <c r="AN32" s="5">
        <f t="shared" si="19"/>
        <v>0</v>
      </c>
      <c r="AO32" s="6" t="str">
        <f t="shared" si="20"/>
        <v/>
      </c>
      <c r="AP32" s="5">
        <f>0</f>
        <v>0</v>
      </c>
      <c r="AQ32" s="4"/>
      <c r="AR32" s="5">
        <f t="shared" si="21"/>
        <v>0</v>
      </c>
      <c r="AS32" s="6" t="str">
        <f t="shared" si="22"/>
        <v/>
      </c>
      <c r="AT32" s="5">
        <f>0</f>
        <v>0</v>
      </c>
      <c r="AU32" s="4"/>
      <c r="AV32" s="5">
        <f t="shared" si="23"/>
        <v>0</v>
      </c>
      <c r="AW32" s="6" t="str">
        <f t="shared" si="24"/>
        <v/>
      </c>
      <c r="AX32" s="5">
        <f t="shared" si="25"/>
        <v>0</v>
      </c>
      <c r="AY32" s="5">
        <f t="shared" si="26"/>
        <v>0</v>
      </c>
      <c r="AZ32" s="5">
        <f t="shared" si="27"/>
        <v>0</v>
      </c>
      <c r="BA32" s="6" t="str">
        <f t="shared" si="28"/>
        <v/>
      </c>
    </row>
    <row r="33" spans="1:53" x14ac:dyDescent="0.25">
      <c r="A33" s="3" t="s">
        <v>46</v>
      </c>
      <c r="B33" s="7">
        <f>(((B29)+(B30))+(B31))+(B32)</f>
        <v>0</v>
      </c>
      <c r="C33" s="7">
        <f>(((C29)+(C30))+(C31))+(C32)</f>
        <v>99.17</v>
      </c>
      <c r="D33" s="7">
        <f t="shared" si="1"/>
        <v>-99.17</v>
      </c>
      <c r="E33" s="8">
        <f t="shared" si="2"/>
        <v>0</v>
      </c>
      <c r="F33" s="7">
        <f>(((F29)+(F30))+(F31))+(F32)</f>
        <v>61.339999999999996</v>
      </c>
      <c r="G33" s="7">
        <f>(((G29)+(G30))+(G31))+(G32)</f>
        <v>99.17</v>
      </c>
      <c r="H33" s="7">
        <f t="shared" si="3"/>
        <v>-37.830000000000005</v>
      </c>
      <c r="I33" s="8">
        <f t="shared" si="4"/>
        <v>0.61853383079560342</v>
      </c>
      <c r="J33" s="7">
        <f>(((J29)+(J30))+(J31))+(J32)</f>
        <v>0</v>
      </c>
      <c r="K33" s="7">
        <f>(((K29)+(K30))+(K31))+(K32)</f>
        <v>99.17</v>
      </c>
      <c r="L33" s="7">
        <f t="shared" si="5"/>
        <v>-99.17</v>
      </c>
      <c r="M33" s="8">
        <f t="shared" si="6"/>
        <v>0</v>
      </c>
      <c r="N33" s="7">
        <f>(((N29)+(N30))+(N31))+(N32)</f>
        <v>291.43</v>
      </c>
      <c r="O33" s="7">
        <f>(((O29)+(O30))+(O31))+(O32)</f>
        <v>99.17</v>
      </c>
      <c r="P33" s="7">
        <f t="shared" si="7"/>
        <v>192.26</v>
      </c>
      <c r="Q33" s="8">
        <f t="shared" si="8"/>
        <v>2.9386911364323889</v>
      </c>
      <c r="R33" s="7">
        <f>(((R29)+(R30))+(R31))+(R32)</f>
        <v>61.39</v>
      </c>
      <c r="S33" s="7">
        <f>(((S29)+(S30))+(S31))+(S32)</f>
        <v>99.17</v>
      </c>
      <c r="T33" s="7">
        <f t="shared" si="9"/>
        <v>-37.78</v>
      </c>
      <c r="U33" s="8">
        <f t="shared" si="10"/>
        <v>0.61903801552888982</v>
      </c>
      <c r="V33" s="7">
        <f>(((V29)+(V30))+(V31))+(V32)</f>
        <v>0</v>
      </c>
      <c r="W33" s="7">
        <f>(((W29)+(W30))+(W31))+(W32)</f>
        <v>99.17</v>
      </c>
      <c r="X33" s="7">
        <f t="shared" si="11"/>
        <v>-99.17</v>
      </c>
      <c r="Y33" s="8">
        <f t="shared" si="12"/>
        <v>0</v>
      </c>
      <c r="Z33" s="7">
        <f>(((Z29)+(Z30))+(Z31))+(Z32)</f>
        <v>0</v>
      </c>
      <c r="AA33" s="7">
        <f>(((AA29)+(AA30))+(AA31))+(AA32)</f>
        <v>99.17</v>
      </c>
      <c r="AB33" s="7">
        <f t="shared" si="13"/>
        <v>-99.17</v>
      </c>
      <c r="AC33" s="8">
        <f t="shared" si="14"/>
        <v>0</v>
      </c>
      <c r="AD33" s="7">
        <f>(((AD29)+(AD30))+(AD31))+(AD32)</f>
        <v>0</v>
      </c>
      <c r="AE33" s="7">
        <f>(((AE29)+(AE30))+(AE31))+(AE32)</f>
        <v>99.17</v>
      </c>
      <c r="AF33" s="7">
        <f t="shared" si="15"/>
        <v>-99.17</v>
      </c>
      <c r="AG33" s="8">
        <f t="shared" si="16"/>
        <v>0</v>
      </c>
      <c r="AH33" s="7">
        <f>(((AH29)+(AH30))+(AH31))+(AH32)</f>
        <v>1582</v>
      </c>
      <c r="AI33" s="7">
        <f>(((AI29)+(AI30))+(AI31))+(AI32)</f>
        <v>99.17</v>
      </c>
      <c r="AJ33" s="7">
        <f t="shared" si="17"/>
        <v>1482.83</v>
      </c>
      <c r="AK33" s="8">
        <f t="shared" si="18"/>
        <v>15.952404961177775</v>
      </c>
      <c r="AL33" s="7">
        <f>(((AL29)+(AL30))+(AL31))+(AL32)</f>
        <v>0</v>
      </c>
      <c r="AM33" s="7">
        <f>(((AM29)+(AM30))+(AM31))+(AM32)</f>
        <v>99.17</v>
      </c>
      <c r="AN33" s="7">
        <f t="shared" si="19"/>
        <v>-99.17</v>
      </c>
      <c r="AO33" s="8">
        <f t="shared" si="20"/>
        <v>0</v>
      </c>
      <c r="AP33" s="7">
        <f>(((AP29)+(AP30))+(AP31))+(AP32)</f>
        <v>0</v>
      </c>
      <c r="AQ33" s="7">
        <f>(((AQ29)+(AQ30))+(AQ31))+(AQ32)</f>
        <v>99.17</v>
      </c>
      <c r="AR33" s="7">
        <f t="shared" si="21"/>
        <v>-99.17</v>
      </c>
      <c r="AS33" s="8">
        <f t="shared" si="22"/>
        <v>0</v>
      </c>
      <c r="AT33" s="7">
        <f>(((AT29)+(AT30))+(AT31))+(AT32)</f>
        <v>0</v>
      </c>
      <c r="AU33" s="7">
        <f>(((AU29)+(AU30))+(AU31))+(AU32)</f>
        <v>99.17</v>
      </c>
      <c r="AV33" s="7">
        <f t="shared" si="23"/>
        <v>-99.17</v>
      </c>
      <c r="AW33" s="8">
        <f t="shared" si="24"/>
        <v>0</v>
      </c>
      <c r="AX33" s="7">
        <f t="shared" si="25"/>
        <v>1996.1599999999999</v>
      </c>
      <c r="AY33" s="7">
        <f t="shared" si="26"/>
        <v>1190.04</v>
      </c>
      <c r="AZ33" s="7">
        <f t="shared" si="27"/>
        <v>806.11999999999989</v>
      </c>
      <c r="BA33" s="8">
        <f t="shared" si="28"/>
        <v>1.677388995327888</v>
      </c>
    </row>
    <row r="34" spans="1:53" x14ac:dyDescent="0.25">
      <c r="A34" s="3" t="s">
        <v>47</v>
      </c>
      <c r="B34" s="4"/>
      <c r="C34" s="5">
        <f>192.17</f>
        <v>192.17</v>
      </c>
      <c r="D34" s="5">
        <f t="shared" si="1"/>
        <v>-192.17</v>
      </c>
      <c r="E34" s="6">
        <f t="shared" si="2"/>
        <v>0</v>
      </c>
      <c r="F34" s="4"/>
      <c r="G34" s="5">
        <f>192.17</f>
        <v>192.17</v>
      </c>
      <c r="H34" s="5">
        <f t="shared" si="3"/>
        <v>-192.17</v>
      </c>
      <c r="I34" s="6">
        <f t="shared" si="4"/>
        <v>0</v>
      </c>
      <c r="J34" s="4"/>
      <c r="K34" s="5">
        <f>192.17</f>
        <v>192.17</v>
      </c>
      <c r="L34" s="5">
        <f t="shared" si="5"/>
        <v>-192.17</v>
      </c>
      <c r="M34" s="6">
        <f t="shared" si="6"/>
        <v>0</v>
      </c>
      <c r="N34" s="4"/>
      <c r="O34" s="5">
        <f>192.17</f>
        <v>192.17</v>
      </c>
      <c r="P34" s="5">
        <f t="shared" si="7"/>
        <v>-192.17</v>
      </c>
      <c r="Q34" s="6">
        <f t="shared" si="8"/>
        <v>0</v>
      </c>
      <c r="R34" s="4"/>
      <c r="S34" s="5">
        <f>192.17</f>
        <v>192.17</v>
      </c>
      <c r="T34" s="5">
        <f t="shared" si="9"/>
        <v>-192.17</v>
      </c>
      <c r="U34" s="6">
        <f t="shared" si="10"/>
        <v>0</v>
      </c>
      <c r="V34" s="4"/>
      <c r="W34" s="5">
        <f>192.17</f>
        <v>192.17</v>
      </c>
      <c r="X34" s="5">
        <f t="shared" si="11"/>
        <v>-192.17</v>
      </c>
      <c r="Y34" s="6">
        <f t="shared" si="12"/>
        <v>0</v>
      </c>
      <c r="Z34" s="4"/>
      <c r="AA34" s="5">
        <f>192.17</f>
        <v>192.17</v>
      </c>
      <c r="AB34" s="5">
        <f t="shared" si="13"/>
        <v>-192.17</v>
      </c>
      <c r="AC34" s="6">
        <f t="shared" si="14"/>
        <v>0</v>
      </c>
      <c r="AD34" s="4"/>
      <c r="AE34" s="5">
        <f>192.17</f>
        <v>192.17</v>
      </c>
      <c r="AF34" s="5">
        <f t="shared" si="15"/>
        <v>-192.17</v>
      </c>
      <c r="AG34" s="6">
        <f t="shared" si="16"/>
        <v>0</v>
      </c>
      <c r="AH34" s="4"/>
      <c r="AI34" s="5">
        <f>192.17</f>
        <v>192.17</v>
      </c>
      <c r="AJ34" s="5">
        <f t="shared" si="17"/>
        <v>-192.17</v>
      </c>
      <c r="AK34" s="6">
        <f t="shared" si="18"/>
        <v>0</v>
      </c>
      <c r="AL34" s="4"/>
      <c r="AM34" s="5">
        <f>192.17</f>
        <v>192.17</v>
      </c>
      <c r="AN34" s="5">
        <f t="shared" si="19"/>
        <v>-192.17</v>
      </c>
      <c r="AO34" s="6">
        <f t="shared" si="20"/>
        <v>0</v>
      </c>
      <c r="AP34" s="4"/>
      <c r="AQ34" s="5">
        <f>192.17</f>
        <v>192.17</v>
      </c>
      <c r="AR34" s="5">
        <f t="shared" si="21"/>
        <v>-192.17</v>
      </c>
      <c r="AS34" s="6">
        <f t="shared" si="22"/>
        <v>0</v>
      </c>
      <c r="AT34" s="4"/>
      <c r="AU34" s="5">
        <f>192.17</f>
        <v>192.17</v>
      </c>
      <c r="AV34" s="5">
        <f t="shared" si="23"/>
        <v>-192.17</v>
      </c>
      <c r="AW34" s="6">
        <f t="shared" si="24"/>
        <v>0</v>
      </c>
      <c r="AX34" s="5">
        <f t="shared" si="25"/>
        <v>0</v>
      </c>
      <c r="AY34" s="5">
        <f t="shared" si="26"/>
        <v>2306.0400000000004</v>
      </c>
      <c r="AZ34" s="5">
        <f t="shared" si="27"/>
        <v>-2306.0400000000004</v>
      </c>
      <c r="BA34" s="6">
        <f t="shared" si="28"/>
        <v>0</v>
      </c>
    </row>
    <row r="35" spans="1:53" x14ac:dyDescent="0.25">
      <c r="A35" s="3" t="s">
        <v>48</v>
      </c>
      <c r="B35" s="5">
        <f>47.54</f>
        <v>47.54</v>
      </c>
      <c r="C35" s="4"/>
      <c r="D35" s="5">
        <f t="shared" si="1"/>
        <v>47.54</v>
      </c>
      <c r="E35" s="6" t="str">
        <f t="shared" si="2"/>
        <v/>
      </c>
      <c r="F35" s="5">
        <f>47.54</f>
        <v>47.54</v>
      </c>
      <c r="G35" s="4"/>
      <c r="H35" s="5">
        <f t="shared" si="3"/>
        <v>47.54</v>
      </c>
      <c r="I35" s="6" t="str">
        <f t="shared" si="4"/>
        <v/>
      </c>
      <c r="J35" s="5">
        <f>47.54</f>
        <v>47.54</v>
      </c>
      <c r="K35" s="4"/>
      <c r="L35" s="5">
        <f t="shared" si="5"/>
        <v>47.54</v>
      </c>
      <c r="M35" s="6" t="str">
        <f t="shared" si="6"/>
        <v/>
      </c>
      <c r="N35" s="5">
        <f>17.56</f>
        <v>17.559999999999999</v>
      </c>
      <c r="O35" s="4"/>
      <c r="P35" s="5">
        <f t="shared" si="7"/>
        <v>17.559999999999999</v>
      </c>
      <c r="Q35" s="6" t="str">
        <f t="shared" si="8"/>
        <v/>
      </c>
      <c r="R35" s="5">
        <f>74.56</f>
        <v>74.56</v>
      </c>
      <c r="S35" s="4"/>
      <c r="T35" s="5">
        <f t="shared" si="9"/>
        <v>74.56</v>
      </c>
      <c r="U35" s="6" t="str">
        <f t="shared" si="10"/>
        <v/>
      </c>
      <c r="V35" s="5">
        <f>74.56</f>
        <v>74.56</v>
      </c>
      <c r="W35" s="4"/>
      <c r="X35" s="5">
        <f t="shared" si="11"/>
        <v>74.56</v>
      </c>
      <c r="Y35" s="6" t="str">
        <f t="shared" si="12"/>
        <v/>
      </c>
      <c r="Z35" s="5">
        <f>-32.96</f>
        <v>-32.96</v>
      </c>
      <c r="AA35" s="4"/>
      <c r="AB35" s="5">
        <f t="shared" si="13"/>
        <v>-32.96</v>
      </c>
      <c r="AC35" s="6" t="str">
        <f t="shared" si="14"/>
        <v/>
      </c>
      <c r="AD35" s="5">
        <f>27.01</f>
        <v>27.01</v>
      </c>
      <c r="AE35" s="4"/>
      <c r="AF35" s="5">
        <f t="shared" si="15"/>
        <v>27.01</v>
      </c>
      <c r="AG35" s="6" t="str">
        <f t="shared" si="16"/>
        <v/>
      </c>
      <c r="AH35" s="5">
        <f>27.01</f>
        <v>27.01</v>
      </c>
      <c r="AI35" s="4"/>
      <c r="AJ35" s="5">
        <f t="shared" si="17"/>
        <v>27.01</v>
      </c>
      <c r="AK35" s="6" t="str">
        <f t="shared" si="18"/>
        <v/>
      </c>
      <c r="AL35" s="5">
        <f>13.55</f>
        <v>13.55</v>
      </c>
      <c r="AM35" s="4"/>
      <c r="AN35" s="5">
        <f t="shared" si="19"/>
        <v>13.55</v>
      </c>
      <c r="AO35" s="6" t="str">
        <f t="shared" si="20"/>
        <v/>
      </c>
      <c r="AP35" s="5">
        <f>27.01</f>
        <v>27.01</v>
      </c>
      <c r="AQ35" s="4"/>
      <c r="AR35" s="5">
        <f t="shared" si="21"/>
        <v>27.01</v>
      </c>
      <c r="AS35" s="6" t="str">
        <f t="shared" si="22"/>
        <v/>
      </c>
      <c r="AT35" s="5">
        <f>43.48</f>
        <v>43.48</v>
      </c>
      <c r="AU35" s="4"/>
      <c r="AV35" s="5">
        <f t="shared" si="23"/>
        <v>43.48</v>
      </c>
      <c r="AW35" s="6" t="str">
        <f t="shared" si="24"/>
        <v/>
      </c>
      <c r="AX35" s="5">
        <f t="shared" si="25"/>
        <v>414.40000000000003</v>
      </c>
      <c r="AY35" s="5">
        <f t="shared" si="26"/>
        <v>0</v>
      </c>
      <c r="AZ35" s="5">
        <f t="shared" si="27"/>
        <v>414.40000000000003</v>
      </c>
      <c r="BA35" s="6" t="str">
        <f t="shared" si="28"/>
        <v/>
      </c>
    </row>
    <row r="36" spans="1:53" x14ac:dyDescent="0.25">
      <c r="A36" s="3" t="s">
        <v>49</v>
      </c>
      <c r="B36" s="5">
        <f>25.6</f>
        <v>25.6</v>
      </c>
      <c r="C36" s="4"/>
      <c r="D36" s="5">
        <f t="shared" si="1"/>
        <v>25.6</v>
      </c>
      <c r="E36" s="6" t="str">
        <f t="shared" si="2"/>
        <v/>
      </c>
      <c r="F36" s="5">
        <f>25.6</f>
        <v>25.6</v>
      </c>
      <c r="G36" s="4"/>
      <c r="H36" s="5">
        <f t="shared" si="3"/>
        <v>25.6</v>
      </c>
      <c r="I36" s="6" t="str">
        <f t="shared" si="4"/>
        <v/>
      </c>
      <c r="J36" s="5">
        <f>25.6</f>
        <v>25.6</v>
      </c>
      <c r="K36" s="4"/>
      <c r="L36" s="5">
        <f t="shared" si="5"/>
        <v>25.6</v>
      </c>
      <c r="M36" s="6" t="str">
        <f t="shared" si="6"/>
        <v/>
      </c>
      <c r="N36" s="5">
        <f>9.45</f>
        <v>9.4499999999999993</v>
      </c>
      <c r="O36" s="4"/>
      <c r="P36" s="5">
        <f t="shared" si="7"/>
        <v>9.4499999999999993</v>
      </c>
      <c r="Q36" s="6" t="str">
        <f t="shared" si="8"/>
        <v/>
      </c>
      <c r="R36" s="5">
        <f>40.15</f>
        <v>40.15</v>
      </c>
      <c r="S36" s="4"/>
      <c r="T36" s="5">
        <f t="shared" si="9"/>
        <v>40.15</v>
      </c>
      <c r="U36" s="6" t="str">
        <f t="shared" si="10"/>
        <v/>
      </c>
      <c r="V36" s="5">
        <f>40.15</f>
        <v>40.15</v>
      </c>
      <c r="W36" s="4"/>
      <c r="X36" s="5">
        <f t="shared" si="11"/>
        <v>40.15</v>
      </c>
      <c r="Y36" s="6" t="str">
        <f t="shared" si="12"/>
        <v/>
      </c>
      <c r="Z36" s="5">
        <f>-17.75</f>
        <v>-17.75</v>
      </c>
      <c r="AA36" s="4"/>
      <c r="AB36" s="5">
        <f t="shared" si="13"/>
        <v>-17.75</v>
      </c>
      <c r="AC36" s="6" t="str">
        <f t="shared" si="14"/>
        <v/>
      </c>
      <c r="AD36" s="5">
        <f>14.55</f>
        <v>14.55</v>
      </c>
      <c r="AE36" s="4"/>
      <c r="AF36" s="5">
        <f t="shared" si="15"/>
        <v>14.55</v>
      </c>
      <c r="AG36" s="6" t="str">
        <f t="shared" si="16"/>
        <v/>
      </c>
      <c r="AH36" s="5">
        <f>14.55</f>
        <v>14.55</v>
      </c>
      <c r="AI36" s="4"/>
      <c r="AJ36" s="5">
        <f t="shared" si="17"/>
        <v>14.55</v>
      </c>
      <c r="AK36" s="6" t="str">
        <f t="shared" si="18"/>
        <v/>
      </c>
      <c r="AL36" s="5">
        <f>7.29</f>
        <v>7.29</v>
      </c>
      <c r="AM36" s="4"/>
      <c r="AN36" s="5">
        <f t="shared" si="19"/>
        <v>7.29</v>
      </c>
      <c r="AO36" s="6" t="str">
        <f t="shared" si="20"/>
        <v/>
      </c>
      <c r="AP36" s="5">
        <f>14.55</f>
        <v>14.55</v>
      </c>
      <c r="AQ36" s="4"/>
      <c r="AR36" s="5">
        <f t="shared" si="21"/>
        <v>14.55</v>
      </c>
      <c r="AS36" s="6" t="str">
        <f t="shared" si="22"/>
        <v/>
      </c>
      <c r="AT36" s="5">
        <f>23.41</f>
        <v>23.41</v>
      </c>
      <c r="AU36" s="4"/>
      <c r="AV36" s="5">
        <f t="shared" si="23"/>
        <v>23.41</v>
      </c>
      <c r="AW36" s="6" t="str">
        <f t="shared" si="24"/>
        <v/>
      </c>
      <c r="AX36" s="5">
        <f t="shared" si="25"/>
        <v>223.15000000000003</v>
      </c>
      <c r="AY36" s="5">
        <f t="shared" si="26"/>
        <v>0</v>
      </c>
      <c r="AZ36" s="5">
        <f t="shared" si="27"/>
        <v>223.15000000000003</v>
      </c>
      <c r="BA36" s="6" t="str">
        <f t="shared" si="28"/>
        <v/>
      </c>
    </row>
    <row r="37" spans="1:53" x14ac:dyDescent="0.25">
      <c r="A37" s="3" t="s">
        <v>50</v>
      </c>
      <c r="B37" s="5">
        <f>0</f>
        <v>0</v>
      </c>
      <c r="C37" s="4"/>
      <c r="D37" s="5">
        <f t="shared" si="1"/>
        <v>0</v>
      </c>
      <c r="E37" s="6" t="str">
        <f t="shared" si="2"/>
        <v/>
      </c>
      <c r="F37" s="5">
        <f>0</f>
        <v>0</v>
      </c>
      <c r="G37" s="4"/>
      <c r="H37" s="5">
        <f t="shared" si="3"/>
        <v>0</v>
      </c>
      <c r="I37" s="6" t="str">
        <f t="shared" si="4"/>
        <v/>
      </c>
      <c r="J37" s="5">
        <f>0</f>
        <v>0</v>
      </c>
      <c r="K37" s="4"/>
      <c r="L37" s="5">
        <f t="shared" si="5"/>
        <v>0</v>
      </c>
      <c r="M37" s="6" t="str">
        <f t="shared" si="6"/>
        <v/>
      </c>
      <c r="N37" s="5">
        <f>0</f>
        <v>0</v>
      </c>
      <c r="O37" s="4"/>
      <c r="P37" s="5">
        <f t="shared" si="7"/>
        <v>0</v>
      </c>
      <c r="Q37" s="6" t="str">
        <f t="shared" si="8"/>
        <v/>
      </c>
      <c r="R37" s="5">
        <f>0</f>
        <v>0</v>
      </c>
      <c r="S37" s="4"/>
      <c r="T37" s="5">
        <f t="shared" si="9"/>
        <v>0</v>
      </c>
      <c r="U37" s="6" t="str">
        <f t="shared" si="10"/>
        <v/>
      </c>
      <c r="V37" s="5">
        <f>0</f>
        <v>0</v>
      </c>
      <c r="W37" s="4"/>
      <c r="X37" s="5">
        <f t="shared" si="11"/>
        <v>0</v>
      </c>
      <c r="Y37" s="6" t="str">
        <f t="shared" si="12"/>
        <v/>
      </c>
      <c r="Z37" s="5">
        <f>0</f>
        <v>0</v>
      </c>
      <c r="AA37" s="4"/>
      <c r="AB37" s="5">
        <f t="shared" si="13"/>
        <v>0</v>
      </c>
      <c r="AC37" s="6" t="str">
        <f t="shared" si="14"/>
        <v/>
      </c>
      <c r="AD37" s="5">
        <f>0</f>
        <v>0</v>
      </c>
      <c r="AE37" s="4"/>
      <c r="AF37" s="5">
        <f t="shared" si="15"/>
        <v>0</v>
      </c>
      <c r="AG37" s="6" t="str">
        <f t="shared" si="16"/>
        <v/>
      </c>
      <c r="AH37" s="5">
        <f>0</f>
        <v>0</v>
      </c>
      <c r="AI37" s="4"/>
      <c r="AJ37" s="5">
        <f t="shared" si="17"/>
        <v>0</v>
      </c>
      <c r="AK37" s="6" t="str">
        <f t="shared" si="18"/>
        <v/>
      </c>
      <c r="AL37" s="5">
        <f>0</f>
        <v>0</v>
      </c>
      <c r="AM37" s="4"/>
      <c r="AN37" s="5">
        <f t="shared" si="19"/>
        <v>0</v>
      </c>
      <c r="AO37" s="6" t="str">
        <f t="shared" si="20"/>
        <v/>
      </c>
      <c r="AP37" s="5">
        <f>0</f>
        <v>0</v>
      </c>
      <c r="AQ37" s="4"/>
      <c r="AR37" s="5">
        <f t="shared" si="21"/>
        <v>0</v>
      </c>
      <c r="AS37" s="6" t="str">
        <f t="shared" si="22"/>
        <v/>
      </c>
      <c r="AT37" s="5">
        <f>0</f>
        <v>0</v>
      </c>
      <c r="AU37" s="4"/>
      <c r="AV37" s="5">
        <f t="shared" si="23"/>
        <v>0</v>
      </c>
      <c r="AW37" s="6" t="str">
        <f t="shared" si="24"/>
        <v/>
      </c>
      <c r="AX37" s="5">
        <f t="shared" si="25"/>
        <v>0</v>
      </c>
      <c r="AY37" s="5">
        <f t="shared" si="26"/>
        <v>0</v>
      </c>
      <c r="AZ37" s="5">
        <f t="shared" si="27"/>
        <v>0</v>
      </c>
      <c r="BA37" s="6" t="str">
        <f t="shared" si="28"/>
        <v/>
      </c>
    </row>
    <row r="38" spans="1:53" x14ac:dyDescent="0.25">
      <c r="A38" s="3" t="s">
        <v>51</v>
      </c>
      <c r="B38" s="7">
        <f>(((B34)+(B35))+(B36))+(B37)</f>
        <v>73.14</v>
      </c>
      <c r="C38" s="7">
        <f>(((C34)+(C35))+(C36))+(C37)</f>
        <v>192.17</v>
      </c>
      <c r="D38" s="7">
        <f t="shared" si="1"/>
        <v>-119.02999999999999</v>
      </c>
      <c r="E38" s="8">
        <f t="shared" si="2"/>
        <v>0.38060050996513506</v>
      </c>
      <c r="F38" s="7">
        <f>(((F34)+(F35))+(F36))+(F37)</f>
        <v>73.14</v>
      </c>
      <c r="G38" s="7">
        <f>(((G34)+(G35))+(G36))+(G37)</f>
        <v>192.17</v>
      </c>
      <c r="H38" s="7">
        <f t="shared" si="3"/>
        <v>-119.02999999999999</v>
      </c>
      <c r="I38" s="8">
        <f t="shared" si="4"/>
        <v>0.38060050996513506</v>
      </c>
      <c r="J38" s="7">
        <f>(((J34)+(J35))+(J36))+(J37)</f>
        <v>73.14</v>
      </c>
      <c r="K38" s="7">
        <f>(((K34)+(K35))+(K36))+(K37)</f>
        <v>192.17</v>
      </c>
      <c r="L38" s="7">
        <f t="shared" si="5"/>
        <v>-119.02999999999999</v>
      </c>
      <c r="M38" s="8">
        <f t="shared" si="6"/>
        <v>0.38060050996513506</v>
      </c>
      <c r="N38" s="7">
        <f>(((N34)+(N35))+(N36))+(N37)</f>
        <v>27.009999999999998</v>
      </c>
      <c r="O38" s="7">
        <f>(((O34)+(O35))+(O36))+(O37)</f>
        <v>192.17</v>
      </c>
      <c r="P38" s="7">
        <f t="shared" si="7"/>
        <v>-165.16</v>
      </c>
      <c r="Q38" s="8">
        <f t="shared" si="8"/>
        <v>0.14055263568715201</v>
      </c>
      <c r="R38" s="7">
        <f>(((R34)+(R35))+(R36))+(R37)</f>
        <v>114.71000000000001</v>
      </c>
      <c r="S38" s="7">
        <f>(((S34)+(S35))+(S36))+(S37)</f>
        <v>192.17</v>
      </c>
      <c r="T38" s="7">
        <f t="shared" si="9"/>
        <v>-77.45999999999998</v>
      </c>
      <c r="U38" s="8">
        <f t="shared" si="10"/>
        <v>0.59691939428630902</v>
      </c>
      <c r="V38" s="7">
        <f>(((V34)+(V35))+(V36))+(V37)</f>
        <v>114.71000000000001</v>
      </c>
      <c r="W38" s="7">
        <f>(((W34)+(W35))+(W36))+(W37)</f>
        <v>192.17</v>
      </c>
      <c r="X38" s="7">
        <f t="shared" si="11"/>
        <v>-77.45999999999998</v>
      </c>
      <c r="Y38" s="8">
        <f t="shared" si="12"/>
        <v>0.59691939428630902</v>
      </c>
      <c r="Z38" s="7">
        <f>(((Z34)+(Z35))+(Z36))+(Z37)</f>
        <v>-50.71</v>
      </c>
      <c r="AA38" s="7">
        <f>(((AA34)+(AA35))+(AA36))+(AA37)</f>
        <v>192.17</v>
      </c>
      <c r="AB38" s="7">
        <f t="shared" si="13"/>
        <v>-242.88</v>
      </c>
      <c r="AC38" s="8">
        <f t="shared" si="14"/>
        <v>-0.26388093875214658</v>
      </c>
      <c r="AD38" s="7">
        <f>(((AD34)+(AD35))+(AD36))+(AD37)</f>
        <v>41.56</v>
      </c>
      <c r="AE38" s="7">
        <f>(((AE34)+(AE35))+(AE36))+(AE37)</f>
        <v>192.17</v>
      </c>
      <c r="AF38" s="7">
        <f t="shared" si="15"/>
        <v>-150.60999999999999</v>
      </c>
      <c r="AG38" s="8">
        <f t="shared" si="16"/>
        <v>0.21626684706249677</v>
      </c>
      <c r="AH38" s="7">
        <f>(((AH34)+(AH35))+(AH36))+(AH37)</f>
        <v>41.56</v>
      </c>
      <c r="AI38" s="7">
        <f>(((AI34)+(AI35))+(AI36))+(AI37)</f>
        <v>192.17</v>
      </c>
      <c r="AJ38" s="7">
        <f t="shared" si="17"/>
        <v>-150.60999999999999</v>
      </c>
      <c r="AK38" s="8">
        <f t="shared" si="18"/>
        <v>0.21626684706249677</v>
      </c>
      <c r="AL38" s="7">
        <f>(((AL34)+(AL35))+(AL36))+(AL37)</f>
        <v>20.84</v>
      </c>
      <c r="AM38" s="7">
        <f>(((AM34)+(AM35))+(AM36))+(AM37)</f>
        <v>192.17</v>
      </c>
      <c r="AN38" s="7">
        <f t="shared" si="19"/>
        <v>-171.32999999999998</v>
      </c>
      <c r="AO38" s="8">
        <f t="shared" si="20"/>
        <v>0.10844564708331166</v>
      </c>
      <c r="AP38" s="7">
        <f>(((AP34)+(AP35))+(AP36))+(AP37)</f>
        <v>41.56</v>
      </c>
      <c r="AQ38" s="7">
        <f>(((AQ34)+(AQ35))+(AQ36))+(AQ37)</f>
        <v>192.17</v>
      </c>
      <c r="AR38" s="7">
        <f t="shared" si="21"/>
        <v>-150.60999999999999</v>
      </c>
      <c r="AS38" s="8">
        <f t="shared" si="22"/>
        <v>0.21626684706249677</v>
      </c>
      <c r="AT38" s="7">
        <f>(((AT34)+(AT35))+(AT36))+(AT37)</f>
        <v>66.89</v>
      </c>
      <c r="AU38" s="7">
        <f>(((AU34)+(AU35))+(AU36))+(AU37)</f>
        <v>192.17</v>
      </c>
      <c r="AV38" s="7">
        <f t="shared" si="23"/>
        <v>-125.27999999999999</v>
      </c>
      <c r="AW38" s="8">
        <f t="shared" si="24"/>
        <v>0.34807722329187701</v>
      </c>
      <c r="AX38" s="7">
        <f t="shared" si="25"/>
        <v>637.55000000000007</v>
      </c>
      <c r="AY38" s="7">
        <f t="shared" si="26"/>
        <v>2306.0400000000004</v>
      </c>
      <c r="AZ38" s="7">
        <f t="shared" si="27"/>
        <v>-1668.4900000000002</v>
      </c>
      <c r="BA38" s="8">
        <f t="shared" si="28"/>
        <v>0.27646961891380895</v>
      </c>
    </row>
    <row r="39" spans="1:53" x14ac:dyDescent="0.25">
      <c r="A39" s="3" t="s">
        <v>52</v>
      </c>
      <c r="B39" s="4"/>
      <c r="C39" s="5">
        <f>1663.5</f>
        <v>1663.5</v>
      </c>
      <c r="D39" s="5">
        <f t="shared" si="1"/>
        <v>-1663.5</v>
      </c>
      <c r="E39" s="6">
        <f t="shared" si="2"/>
        <v>0</v>
      </c>
      <c r="F39" s="4"/>
      <c r="G39" s="5">
        <f>1663.5</f>
        <v>1663.5</v>
      </c>
      <c r="H39" s="5">
        <f t="shared" si="3"/>
        <v>-1663.5</v>
      </c>
      <c r="I39" s="6">
        <f t="shared" si="4"/>
        <v>0</v>
      </c>
      <c r="J39" s="4"/>
      <c r="K39" s="5">
        <f>1663.5</f>
        <v>1663.5</v>
      </c>
      <c r="L39" s="5">
        <f t="shared" si="5"/>
        <v>-1663.5</v>
      </c>
      <c r="M39" s="6">
        <f t="shared" si="6"/>
        <v>0</v>
      </c>
      <c r="N39" s="4"/>
      <c r="O39" s="5">
        <f>1663.5</f>
        <v>1663.5</v>
      </c>
      <c r="P39" s="5">
        <f t="shared" si="7"/>
        <v>-1663.5</v>
      </c>
      <c r="Q39" s="6">
        <f t="shared" si="8"/>
        <v>0</v>
      </c>
      <c r="R39" s="4"/>
      <c r="S39" s="5">
        <f>1663.5</f>
        <v>1663.5</v>
      </c>
      <c r="T39" s="5">
        <f t="shared" si="9"/>
        <v>-1663.5</v>
      </c>
      <c r="U39" s="6">
        <f t="shared" si="10"/>
        <v>0</v>
      </c>
      <c r="V39" s="4"/>
      <c r="W39" s="5">
        <f>1663.5</f>
        <v>1663.5</v>
      </c>
      <c r="X39" s="5">
        <f t="shared" si="11"/>
        <v>-1663.5</v>
      </c>
      <c r="Y39" s="6">
        <f t="shared" si="12"/>
        <v>0</v>
      </c>
      <c r="Z39" s="4"/>
      <c r="AA39" s="5">
        <f>1663.5</f>
        <v>1663.5</v>
      </c>
      <c r="AB39" s="5">
        <f t="shared" si="13"/>
        <v>-1663.5</v>
      </c>
      <c r="AC39" s="6">
        <f t="shared" si="14"/>
        <v>0</v>
      </c>
      <c r="AD39" s="4"/>
      <c r="AE39" s="5">
        <f>1663.5</f>
        <v>1663.5</v>
      </c>
      <c r="AF39" s="5">
        <f t="shared" si="15"/>
        <v>-1663.5</v>
      </c>
      <c r="AG39" s="6">
        <f t="shared" si="16"/>
        <v>0</v>
      </c>
      <c r="AH39" s="4"/>
      <c r="AI39" s="5">
        <f>1663.5</f>
        <v>1663.5</v>
      </c>
      <c r="AJ39" s="5">
        <f t="shared" si="17"/>
        <v>-1663.5</v>
      </c>
      <c r="AK39" s="6">
        <f t="shared" si="18"/>
        <v>0</v>
      </c>
      <c r="AL39" s="4"/>
      <c r="AM39" s="5">
        <f>1663.5</f>
        <v>1663.5</v>
      </c>
      <c r="AN39" s="5">
        <f t="shared" si="19"/>
        <v>-1663.5</v>
      </c>
      <c r="AO39" s="6">
        <f t="shared" si="20"/>
        <v>0</v>
      </c>
      <c r="AP39" s="4"/>
      <c r="AQ39" s="5">
        <f>1663.5</f>
        <v>1663.5</v>
      </c>
      <c r="AR39" s="5">
        <f t="shared" si="21"/>
        <v>-1663.5</v>
      </c>
      <c r="AS39" s="6">
        <f t="shared" si="22"/>
        <v>0</v>
      </c>
      <c r="AT39" s="4"/>
      <c r="AU39" s="5">
        <f>1663.5</f>
        <v>1663.5</v>
      </c>
      <c r="AV39" s="5">
        <f t="shared" si="23"/>
        <v>-1663.5</v>
      </c>
      <c r="AW39" s="6">
        <f t="shared" si="24"/>
        <v>0</v>
      </c>
      <c r="AX39" s="5">
        <f t="shared" si="25"/>
        <v>0</v>
      </c>
      <c r="AY39" s="5">
        <f t="shared" si="26"/>
        <v>19962</v>
      </c>
      <c r="AZ39" s="5">
        <f t="shared" si="27"/>
        <v>-19962</v>
      </c>
      <c r="BA39" s="6">
        <f t="shared" si="28"/>
        <v>0</v>
      </c>
    </row>
    <row r="40" spans="1:53" x14ac:dyDescent="0.25">
      <c r="A40" s="3" t="s">
        <v>53</v>
      </c>
      <c r="B40" s="5">
        <f>736.61</f>
        <v>736.61</v>
      </c>
      <c r="C40" s="4"/>
      <c r="D40" s="5">
        <f t="shared" si="1"/>
        <v>736.61</v>
      </c>
      <c r="E40" s="6" t="str">
        <f t="shared" si="2"/>
        <v/>
      </c>
      <c r="F40" s="5">
        <f>736.61</f>
        <v>736.61</v>
      </c>
      <c r="G40" s="4"/>
      <c r="H40" s="5">
        <f t="shared" si="3"/>
        <v>736.61</v>
      </c>
      <c r="I40" s="6" t="str">
        <f t="shared" si="4"/>
        <v/>
      </c>
      <c r="J40" s="5">
        <f>736.61</f>
        <v>736.61</v>
      </c>
      <c r="K40" s="4"/>
      <c r="L40" s="5">
        <f t="shared" si="5"/>
        <v>736.61</v>
      </c>
      <c r="M40" s="6" t="str">
        <f t="shared" si="6"/>
        <v/>
      </c>
      <c r="N40" s="5">
        <f>5113.41</f>
        <v>5113.41</v>
      </c>
      <c r="O40" s="4"/>
      <c r="P40" s="5">
        <f t="shared" si="7"/>
        <v>5113.41</v>
      </c>
      <c r="Q40" s="6" t="str">
        <f t="shared" si="8"/>
        <v/>
      </c>
      <c r="R40" s="5">
        <f>736.61</f>
        <v>736.61</v>
      </c>
      <c r="S40" s="4"/>
      <c r="T40" s="5">
        <f t="shared" si="9"/>
        <v>736.61</v>
      </c>
      <c r="U40" s="6" t="str">
        <f t="shared" si="10"/>
        <v/>
      </c>
      <c r="V40" s="5">
        <f>736.61</f>
        <v>736.61</v>
      </c>
      <c r="W40" s="4"/>
      <c r="X40" s="5">
        <f t="shared" si="11"/>
        <v>736.61</v>
      </c>
      <c r="Y40" s="6" t="str">
        <f t="shared" si="12"/>
        <v/>
      </c>
      <c r="Z40" s="5">
        <f>736.61</f>
        <v>736.61</v>
      </c>
      <c r="AA40" s="4"/>
      <c r="AB40" s="5">
        <f t="shared" si="13"/>
        <v>736.61</v>
      </c>
      <c r="AC40" s="6" t="str">
        <f t="shared" si="14"/>
        <v/>
      </c>
      <c r="AD40" s="5">
        <f>-346.4</f>
        <v>-346.4</v>
      </c>
      <c r="AE40" s="4"/>
      <c r="AF40" s="5">
        <f t="shared" si="15"/>
        <v>-346.4</v>
      </c>
      <c r="AG40" s="6" t="str">
        <f t="shared" si="16"/>
        <v/>
      </c>
      <c r="AH40" s="5">
        <f>736.61</f>
        <v>736.61</v>
      </c>
      <c r="AI40" s="4"/>
      <c r="AJ40" s="5">
        <f t="shared" si="17"/>
        <v>736.61</v>
      </c>
      <c r="AK40" s="6" t="str">
        <f t="shared" si="18"/>
        <v/>
      </c>
      <c r="AL40" s="5">
        <f>563.41</f>
        <v>563.41</v>
      </c>
      <c r="AM40" s="4"/>
      <c r="AN40" s="5">
        <f t="shared" si="19"/>
        <v>563.41</v>
      </c>
      <c r="AO40" s="6" t="str">
        <f t="shared" si="20"/>
        <v/>
      </c>
      <c r="AP40" s="5">
        <f>736.61</f>
        <v>736.61</v>
      </c>
      <c r="AQ40" s="4"/>
      <c r="AR40" s="5">
        <f t="shared" si="21"/>
        <v>736.61</v>
      </c>
      <c r="AS40" s="6" t="str">
        <f t="shared" si="22"/>
        <v/>
      </c>
      <c r="AT40" s="5">
        <f>1516.67</f>
        <v>1516.67</v>
      </c>
      <c r="AU40" s="4"/>
      <c r="AV40" s="5">
        <f t="shared" si="23"/>
        <v>1516.67</v>
      </c>
      <c r="AW40" s="6" t="str">
        <f t="shared" si="24"/>
        <v/>
      </c>
      <c r="AX40" s="5">
        <f t="shared" si="25"/>
        <v>12739.970000000001</v>
      </c>
      <c r="AY40" s="5">
        <f t="shared" si="26"/>
        <v>0</v>
      </c>
      <c r="AZ40" s="5">
        <f t="shared" si="27"/>
        <v>12739.970000000001</v>
      </c>
      <c r="BA40" s="6" t="str">
        <f t="shared" si="28"/>
        <v/>
      </c>
    </row>
    <row r="41" spans="1:53" x14ac:dyDescent="0.25">
      <c r="A41" s="3" t="s">
        <v>54</v>
      </c>
      <c r="B41" s="5">
        <f>396.64</f>
        <v>396.64</v>
      </c>
      <c r="C41" s="4"/>
      <c r="D41" s="5">
        <f t="shared" si="1"/>
        <v>396.64</v>
      </c>
      <c r="E41" s="6" t="str">
        <f t="shared" si="2"/>
        <v/>
      </c>
      <c r="F41" s="5">
        <f>396.64</f>
        <v>396.64</v>
      </c>
      <c r="G41" s="4"/>
      <c r="H41" s="5">
        <f t="shared" si="3"/>
        <v>396.64</v>
      </c>
      <c r="I41" s="6" t="str">
        <f t="shared" si="4"/>
        <v/>
      </c>
      <c r="J41" s="5">
        <f>396.64</f>
        <v>396.64</v>
      </c>
      <c r="K41" s="4"/>
      <c r="L41" s="5">
        <f t="shared" si="5"/>
        <v>396.64</v>
      </c>
      <c r="M41" s="6" t="str">
        <f t="shared" si="6"/>
        <v/>
      </c>
      <c r="N41" s="5">
        <f>2753.38</f>
        <v>2753.38</v>
      </c>
      <c r="O41" s="4"/>
      <c r="P41" s="5">
        <f t="shared" si="7"/>
        <v>2753.38</v>
      </c>
      <c r="Q41" s="6" t="str">
        <f t="shared" si="8"/>
        <v/>
      </c>
      <c r="R41" s="5">
        <f>396.64</f>
        <v>396.64</v>
      </c>
      <c r="S41" s="4"/>
      <c r="T41" s="5">
        <f t="shared" si="9"/>
        <v>396.64</v>
      </c>
      <c r="U41" s="6" t="str">
        <f t="shared" si="10"/>
        <v/>
      </c>
      <c r="V41" s="5">
        <f>396.64</f>
        <v>396.64</v>
      </c>
      <c r="W41" s="4"/>
      <c r="X41" s="5">
        <f t="shared" si="11"/>
        <v>396.64</v>
      </c>
      <c r="Y41" s="6" t="str">
        <f t="shared" si="12"/>
        <v/>
      </c>
      <c r="Z41" s="5">
        <f>396.64</f>
        <v>396.64</v>
      </c>
      <c r="AA41" s="4"/>
      <c r="AB41" s="5">
        <f t="shared" si="13"/>
        <v>396.64</v>
      </c>
      <c r="AC41" s="6" t="str">
        <f t="shared" si="14"/>
        <v/>
      </c>
      <c r="AD41" s="5">
        <f>-186.52</f>
        <v>-186.52</v>
      </c>
      <c r="AE41" s="4"/>
      <c r="AF41" s="5">
        <f t="shared" si="15"/>
        <v>-186.52</v>
      </c>
      <c r="AG41" s="6" t="str">
        <f t="shared" si="16"/>
        <v/>
      </c>
      <c r="AH41" s="5">
        <f>396.64</f>
        <v>396.64</v>
      </c>
      <c r="AI41" s="4"/>
      <c r="AJ41" s="5">
        <f t="shared" si="17"/>
        <v>396.64</v>
      </c>
      <c r="AK41" s="6" t="str">
        <f t="shared" si="18"/>
        <v/>
      </c>
      <c r="AL41" s="5">
        <f>303.38</f>
        <v>303.38</v>
      </c>
      <c r="AM41" s="4"/>
      <c r="AN41" s="5">
        <f t="shared" si="19"/>
        <v>303.38</v>
      </c>
      <c r="AO41" s="6" t="str">
        <f t="shared" si="20"/>
        <v/>
      </c>
      <c r="AP41" s="5">
        <f>396.64</f>
        <v>396.64</v>
      </c>
      <c r="AQ41" s="4"/>
      <c r="AR41" s="5">
        <f t="shared" si="21"/>
        <v>396.64</v>
      </c>
      <c r="AS41" s="6" t="str">
        <f t="shared" si="22"/>
        <v/>
      </c>
      <c r="AT41" s="5">
        <f>816.67</f>
        <v>816.67</v>
      </c>
      <c r="AU41" s="4"/>
      <c r="AV41" s="5">
        <f t="shared" si="23"/>
        <v>816.67</v>
      </c>
      <c r="AW41" s="6" t="str">
        <f t="shared" si="24"/>
        <v/>
      </c>
      <c r="AX41" s="5">
        <f t="shared" si="25"/>
        <v>6860.0300000000016</v>
      </c>
      <c r="AY41" s="5">
        <f t="shared" si="26"/>
        <v>0</v>
      </c>
      <c r="AZ41" s="5">
        <f t="shared" si="27"/>
        <v>6860.0300000000016</v>
      </c>
      <c r="BA41" s="6" t="str">
        <f t="shared" si="28"/>
        <v/>
      </c>
    </row>
    <row r="42" spans="1:53" x14ac:dyDescent="0.25">
      <c r="A42" s="3" t="s">
        <v>55</v>
      </c>
      <c r="B42" s="5">
        <f>0</f>
        <v>0</v>
      </c>
      <c r="C42" s="4"/>
      <c r="D42" s="5">
        <f t="shared" si="1"/>
        <v>0</v>
      </c>
      <c r="E42" s="6" t="str">
        <f t="shared" si="2"/>
        <v/>
      </c>
      <c r="F42" s="5">
        <f>0</f>
        <v>0</v>
      </c>
      <c r="G42" s="4"/>
      <c r="H42" s="5">
        <f t="shared" si="3"/>
        <v>0</v>
      </c>
      <c r="I42" s="6" t="str">
        <f t="shared" si="4"/>
        <v/>
      </c>
      <c r="J42" s="5">
        <f>0</f>
        <v>0</v>
      </c>
      <c r="K42" s="4"/>
      <c r="L42" s="5">
        <f t="shared" si="5"/>
        <v>0</v>
      </c>
      <c r="M42" s="6" t="str">
        <f t="shared" si="6"/>
        <v/>
      </c>
      <c r="N42" s="5">
        <f>0</f>
        <v>0</v>
      </c>
      <c r="O42" s="4"/>
      <c r="P42" s="5">
        <f t="shared" si="7"/>
        <v>0</v>
      </c>
      <c r="Q42" s="6" t="str">
        <f t="shared" si="8"/>
        <v/>
      </c>
      <c r="R42" s="5">
        <f>0</f>
        <v>0</v>
      </c>
      <c r="S42" s="4"/>
      <c r="T42" s="5">
        <f t="shared" si="9"/>
        <v>0</v>
      </c>
      <c r="U42" s="6" t="str">
        <f t="shared" si="10"/>
        <v/>
      </c>
      <c r="V42" s="5">
        <f>0</f>
        <v>0</v>
      </c>
      <c r="W42" s="4"/>
      <c r="X42" s="5">
        <f t="shared" si="11"/>
        <v>0</v>
      </c>
      <c r="Y42" s="6" t="str">
        <f t="shared" si="12"/>
        <v/>
      </c>
      <c r="Z42" s="5">
        <f>0</f>
        <v>0</v>
      </c>
      <c r="AA42" s="4"/>
      <c r="AB42" s="5">
        <f t="shared" si="13"/>
        <v>0</v>
      </c>
      <c r="AC42" s="6" t="str">
        <f t="shared" si="14"/>
        <v/>
      </c>
      <c r="AD42" s="5">
        <f>0</f>
        <v>0</v>
      </c>
      <c r="AE42" s="4"/>
      <c r="AF42" s="5">
        <f t="shared" si="15"/>
        <v>0</v>
      </c>
      <c r="AG42" s="6" t="str">
        <f t="shared" si="16"/>
        <v/>
      </c>
      <c r="AH42" s="5">
        <f>0</f>
        <v>0</v>
      </c>
      <c r="AI42" s="4"/>
      <c r="AJ42" s="5">
        <f t="shared" si="17"/>
        <v>0</v>
      </c>
      <c r="AK42" s="6" t="str">
        <f t="shared" si="18"/>
        <v/>
      </c>
      <c r="AL42" s="5">
        <f>0</f>
        <v>0</v>
      </c>
      <c r="AM42" s="4"/>
      <c r="AN42" s="5">
        <f t="shared" si="19"/>
        <v>0</v>
      </c>
      <c r="AO42" s="6" t="str">
        <f t="shared" si="20"/>
        <v/>
      </c>
      <c r="AP42" s="5">
        <f>0</f>
        <v>0</v>
      </c>
      <c r="AQ42" s="4"/>
      <c r="AR42" s="5">
        <f t="shared" si="21"/>
        <v>0</v>
      </c>
      <c r="AS42" s="6" t="str">
        <f t="shared" si="22"/>
        <v/>
      </c>
      <c r="AT42" s="5">
        <f>0</f>
        <v>0</v>
      </c>
      <c r="AU42" s="4"/>
      <c r="AV42" s="5">
        <f t="shared" si="23"/>
        <v>0</v>
      </c>
      <c r="AW42" s="6" t="str">
        <f t="shared" si="24"/>
        <v/>
      </c>
      <c r="AX42" s="5">
        <f t="shared" si="25"/>
        <v>0</v>
      </c>
      <c r="AY42" s="5">
        <f t="shared" si="26"/>
        <v>0</v>
      </c>
      <c r="AZ42" s="5">
        <f t="shared" si="27"/>
        <v>0</v>
      </c>
      <c r="BA42" s="6" t="str">
        <f t="shared" si="28"/>
        <v/>
      </c>
    </row>
    <row r="43" spans="1:53" x14ac:dyDescent="0.25">
      <c r="A43" s="3" t="s">
        <v>56</v>
      </c>
      <c r="B43" s="7">
        <f>(((B39)+(B40))+(B41))+(B42)</f>
        <v>1133.25</v>
      </c>
      <c r="C43" s="7">
        <f>(((C39)+(C40))+(C41))+(C42)</f>
        <v>1663.5</v>
      </c>
      <c r="D43" s="7">
        <f t="shared" si="1"/>
        <v>-530.25</v>
      </c>
      <c r="E43" s="8">
        <f t="shared" si="2"/>
        <v>0.68124436429215507</v>
      </c>
      <c r="F43" s="7">
        <f>(((F39)+(F40))+(F41))+(F42)</f>
        <v>1133.25</v>
      </c>
      <c r="G43" s="7">
        <f>(((G39)+(G40))+(G41))+(G42)</f>
        <v>1663.5</v>
      </c>
      <c r="H43" s="7">
        <f t="shared" si="3"/>
        <v>-530.25</v>
      </c>
      <c r="I43" s="8">
        <f t="shared" si="4"/>
        <v>0.68124436429215507</v>
      </c>
      <c r="J43" s="7">
        <f>(((J39)+(J40))+(J41))+(J42)</f>
        <v>1133.25</v>
      </c>
      <c r="K43" s="7">
        <f>(((K39)+(K40))+(K41))+(K42)</f>
        <v>1663.5</v>
      </c>
      <c r="L43" s="7">
        <f t="shared" si="5"/>
        <v>-530.25</v>
      </c>
      <c r="M43" s="8">
        <f t="shared" si="6"/>
        <v>0.68124436429215507</v>
      </c>
      <c r="N43" s="7">
        <f>(((N39)+(N40))+(N41))+(N42)</f>
        <v>7866.79</v>
      </c>
      <c r="O43" s="7">
        <f>(((O39)+(O40))+(O41))+(O42)</f>
        <v>1663.5</v>
      </c>
      <c r="P43" s="7">
        <f t="shared" si="7"/>
        <v>6203.29</v>
      </c>
      <c r="Q43" s="8">
        <f t="shared" si="8"/>
        <v>4.7290592125037572</v>
      </c>
      <c r="R43" s="7">
        <f>(((R39)+(R40))+(R41))+(R42)</f>
        <v>1133.25</v>
      </c>
      <c r="S43" s="7">
        <f>(((S39)+(S40))+(S41))+(S42)</f>
        <v>1663.5</v>
      </c>
      <c r="T43" s="7">
        <f t="shared" si="9"/>
        <v>-530.25</v>
      </c>
      <c r="U43" s="8">
        <f t="shared" si="10"/>
        <v>0.68124436429215507</v>
      </c>
      <c r="V43" s="7">
        <f>(((V39)+(V40))+(V41))+(V42)</f>
        <v>1133.25</v>
      </c>
      <c r="W43" s="7">
        <f>(((W39)+(W40))+(W41))+(W42)</f>
        <v>1663.5</v>
      </c>
      <c r="X43" s="7">
        <f t="shared" si="11"/>
        <v>-530.25</v>
      </c>
      <c r="Y43" s="8">
        <f t="shared" si="12"/>
        <v>0.68124436429215507</v>
      </c>
      <c r="Z43" s="7">
        <f>(((Z39)+(Z40))+(Z41))+(Z42)</f>
        <v>1133.25</v>
      </c>
      <c r="AA43" s="7">
        <f>(((AA39)+(AA40))+(AA41))+(AA42)</f>
        <v>1663.5</v>
      </c>
      <c r="AB43" s="7">
        <f t="shared" si="13"/>
        <v>-530.25</v>
      </c>
      <c r="AC43" s="8">
        <f t="shared" si="14"/>
        <v>0.68124436429215507</v>
      </c>
      <c r="AD43" s="7">
        <f>(((AD39)+(AD40))+(AD41))+(AD42)</f>
        <v>-532.91999999999996</v>
      </c>
      <c r="AE43" s="7">
        <f>(((AE39)+(AE40))+(AE41))+(AE42)</f>
        <v>1663.5</v>
      </c>
      <c r="AF43" s="7">
        <f t="shared" si="15"/>
        <v>-2196.42</v>
      </c>
      <c r="AG43" s="8">
        <f t="shared" si="16"/>
        <v>-0.3203606853020739</v>
      </c>
      <c r="AH43" s="7">
        <f>(((AH39)+(AH40))+(AH41))+(AH42)</f>
        <v>1133.25</v>
      </c>
      <c r="AI43" s="7">
        <f>(((AI39)+(AI40))+(AI41))+(AI42)</f>
        <v>1663.5</v>
      </c>
      <c r="AJ43" s="7">
        <f t="shared" si="17"/>
        <v>-530.25</v>
      </c>
      <c r="AK43" s="8">
        <f t="shared" si="18"/>
        <v>0.68124436429215507</v>
      </c>
      <c r="AL43" s="7">
        <f>(((AL39)+(AL40))+(AL41))+(AL42)</f>
        <v>866.79</v>
      </c>
      <c r="AM43" s="7">
        <f>(((AM39)+(AM40))+(AM41))+(AM42)</f>
        <v>1663.5</v>
      </c>
      <c r="AN43" s="7">
        <f t="shared" si="19"/>
        <v>-796.71</v>
      </c>
      <c r="AO43" s="8">
        <f t="shared" si="20"/>
        <v>0.52106402164111809</v>
      </c>
      <c r="AP43" s="7">
        <f>(((AP39)+(AP40))+(AP41))+(AP42)</f>
        <v>1133.25</v>
      </c>
      <c r="AQ43" s="7">
        <f>(((AQ39)+(AQ40))+(AQ41))+(AQ42)</f>
        <v>1663.5</v>
      </c>
      <c r="AR43" s="7">
        <f t="shared" si="21"/>
        <v>-530.25</v>
      </c>
      <c r="AS43" s="8">
        <f t="shared" si="22"/>
        <v>0.68124436429215507</v>
      </c>
      <c r="AT43" s="7">
        <f>(((AT39)+(AT40))+(AT41))+(AT42)</f>
        <v>2333.34</v>
      </c>
      <c r="AU43" s="7">
        <f>(((AU39)+(AU40))+(AU41))+(AU42)</f>
        <v>1663.5</v>
      </c>
      <c r="AV43" s="7">
        <f t="shared" si="23"/>
        <v>669.84000000000015</v>
      </c>
      <c r="AW43" s="8">
        <f t="shared" si="24"/>
        <v>1.4026690712353473</v>
      </c>
      <c r="AX43" s="7">
        <f t="shared" si="25"/>
        <v>19600</v>
      </c>
      <c r="AY43" s="7">
        <f t="shared" si="26"/>
        <v>19962</v>
      </c>
      <c r="AZ43" s="7">
        <f t="shared" si="27"/>
        <v>-362</v>
      </c>
      <c r="BA43" s="8">
        <f t="shared" si="28"/>
        <v>0.98186554453461572</v>
      </c>
    </row>
    <row r="44" spans="1:53" x14ac:dyDescent="0.25">
      <c r="A44" s="3" t="s">
        <v>57</v>
      </c>
      <c r="B44" s="4"/>
      <c r="C44" s="5">
        <f>237.83</f>
        <v>237.83</v>
      </c>
      <c r="D44" s="5">
        <f t="shared" si="1"/>
        <v>-237.83</v>
      </c>
      <c r="E44" s="6">
        <f t="shared" si="2"/>
        <v>0</v>
      </c>
      <c r="F44" s="4"/>
      <c r="G44" s="5">
        <f>237.83</f>
        <v>237.83</v>
      </c>
      <c r="H44" s="5">
        <f t="shared" si="3"/>
        <v>-237.83</v>
      </c>
      <c r="I44" s="6">
        <f t="shared" si="4"/>
        <v>0</v>
      </c>
      <c r="J44" s="4"/>
      <c r="K44" s="5">
        <f>237.83</f>
        <v>237.83</v>
      </c>
      <c r="L44" s="5">
        <f t="shared" si="5"/>
        <v>-237.83</v>
      </c>
      <c r="M44" s="6">
        <f t="shared" si="6"/>
        <v>0</v>
      </c>
      <c r="N44" s="4"/>
      <c r="O44" s="5">
        <f>237.83</f>
        <v>237.83</v>
      </c>
      <c r="P44" s="5">
        <f t="shared" si="7"/>
        <v>-237.83</v>
      </c>
      <c r="Q44" s="6">
        <f t="shared" si="8"/>
        <v>0</v>
      </c>
      <c r="R44" s="4"/>
      <c r="S44" s="5">
        <f>237.83</f>
        <v>237.83</v>
      </c>
      <c r="T44" s="5">
        <f t="shared" si="9"/>
        <v>-237.83</v>
      </c>
      <c r="U44" s="6">
        <f t="shared" si="10"/>
        <v>0</v>
      </c>
      <c r="V44" s="4"/>
      <c r="W44" s="5">
        <f>237.83</f>
        <v>237.83</v>
      </c>
      <c r="X44" s="5">
        <f t="shared" si="11"/>
        <v>-237.83</v>
      </c>
      <c r="Y44" s="6">
        <f t="shared" si="12"/>
        <v>0</v>
      </c>
      <c r="Z44" s="4"/>
      <c r="AA44" s="5">
        <f>237.83</f>
        <v>237.83</v>
      </c>
      <c r="AB44" s="5">
        <f t="shared" si="13"/>
        <v>-237.83</v>
      </c>
      <c r="AC44" s="6">
        <f t="shared" si="14"/>
        <v>0</v>
      </c>
      <c r="AD44" s="4"/>
      <c r="AE44" s="5">
        <f>237.83</f>
        <v>237.83</v>
      </c>
      <c r="AF44" s="5">
        <f t="shared" si="15"/>
        <v>-237.83</v>
      </c>
      <c r="AG44" s="6">
        <f t="shared" si="16"/>
        <v>0</v>
      </c>
      <c r="AH44" s="4"/>
      <c r="AI44" s="5">
        <f>237.83</f>
        <v>237.83</v>
      </c>
      <c r="AJ44" s="5">
        <f t="shared" si="17"/>
        <v>-237.83</v>
      </c>
      <c r="AK44" s="6">
        <f t="shared" si="18"/>
        <v>0</v>
      </c>
      <c r="AL44" s="4"/>
      <c r="AM44" s="5">
        <f>237.83</f>
        <v>237.83</v>
      </c>
      <c r="AN44" s="5">
        <f t="shared" si="19"/>
        <v>-237.83</v>
      </c>
      <c r="AO44" s="6">
        <f t="shared" si="20"/>
        <v>0</v>
      </c>
      <c r="AP44" s="4"/>
      <c r="AQ44" s="5">
        <f>237.83</f>
        <v>237.83</v>
      </c>
      <c r="AR44" s="5">
        <f t="shared" si="21"/>
        <v>-237.83</v>
      </c>
      <c r="AS44" s="6">
        <f t="shared" si="22"/>
        <v>0</v>
      </c>
      <c r="AT44" s="4"/>
      <c r="AU44" s="5">
        <f>237.83</f>
        <v>237.83</v>
      </c>
      <c r="AV44" s="5">
        <f t="shared" si="23"/>
        <v>-237.83</v>
      </c>
      <c r="AW44" s="6">
        <f t="shared" si="24"/>
        <v>0</v>
      </c>
      <c r="AX44" s="5">
        <f t="shared" si="25"/>
        <v>0</v>
      </c>
      <c r="AY44" s="5">
        <f t="shared" si="26"/>
        <v>2853.9599999999996</v>
      </c>
      <c r="AZ44" s="5">
        <f t="shared" si="27"/>
        <v>-2853.9599999999996</v>
      </c>
      <c r="BA44" s="6">
        <f t="shared" si="28"/>
        <v>0</v>
      </c>
    </row>
    <row r="45" spans="1:53" x14ac:dyDescent="0.25">
      <c r="A45" s="3" t="s">
        <v>58</v>
      </c>
      <c r="B45" s="4"/>
      <c r="C45" s="4"/>
      <c r="D45" s="5">
        <f t="shared" si="1"/>
        <v>0</v>
      </c>
      <c r="E45" s="6" t="str">
        <f t="shared" si="2"/>
        <v/>
      </c>
      <c r="F45" s="5">
        <f>174.86</f>
        <v>174.86</v>
      </c>
      <c r="G45" s="4"/>
      <c r="H45" s="5">
        <f t="shared" si="3"/>
        <v>174.86</v>
      </c>
      <c r="I45" s="6" t="str">
        <f t="shared" si="4"/>
        <v/>
      </c>
      <c r="J45" s="5">
        <f>349.73</f>
        <v>349.73</v>
      </c>
      <c r="K45" s="4"/>
      <c r="L45" s="5">
        <f t="shared" si="5"/>
        <v>349.73</v>
      </c>
      <c r="M45" s="6" t="str">
        <f t="shared" si="6"/>
        <v/>
      </c>
      <c r="N45" s="5">
        <f>174.86</f>
        <v>174.86</v>
      </c>
      <c r="O45" s="4"/>
      <c r="P45" s="5">
        <f t="shared" si="7"/>
        <v>174.86</v>
      </c>
      <c r="Q45" s="6" t="str">
        <f t="shared" si="8"/>
        <v/>
      </c>
      <c r="R45" s="5">
        <f>174.86</f>
        <v>174.86</v>
      </c>
      <c r="S45" s="4"/>
      <c r="T45" s="5">
        <f t="shared" si="9"/>
        <v>174.86</v>
      </c>
      <c r="U45" s="6" t="str">
        <f t="shared" si="10"/>
        <v/>
      </c>
      <c r="V45" s="5">
        <f>174.86</f>
        <v>174.86</v>
      </c>
      <c r="W45" s="4"/>
      <c r="X45" s="5">
        <f t="shared" si="11"/>
        <v>174.86</v>
      </c>
      <c r="Y45" s="6" t="str">
        <f t="shared" si="12"/>
        <v/>
      </c>
      <c r="Z45" s="5">
        <f>174.86</f>
        <v>174.86</v>
      </c>
      <c r="AA45" s="4"/>
      <c r="AB45" s="5">
        <f t="shared" si="13"/>
        <v>174.86</v>
      </c>
      <c r="AC45" s="6" t="str">
        <f t="shared" si="14"/>
        <v/>
      </c>
      <c r="AD45" s="5">
        <f>174.86</f>
        <v>174.86</v>
      </c>
      <c r="AE45" s="4"/>
      <c r="AF45" s="5">
        <f t="shared" si="15"/>
        <v>174.86</v>
      </c>
      <c r="AG45" s="6" t="str">
        <f t="shared" si="16"/>
        <v/>
      </c>
      <c r="AH45" s="5">
        <f>174.86</f>
        <v>174.86</v>
      </c>
      <c r="AI45" s="4"/>
      <c r="AJ45" s="5">
        <f t="shared" si="17"/>
        <v>174.86</v>
      </c>
      <c r="AK45" s="6" t="str">
        <f t="shared" si="18"/>
        <v/>
      </c>
      <c r="AL45" s="5">
        <f>202.25</f>
        <v>202.25</v>
      </c>
      <c r="AM45" s="4"/>
      <c r="AN45" s="5">
        <f t="shared" si="19"/>
        <v>202.25</v>
      </c>
      <c r="AO45" s="6" t="str">
        <f t="shared" si="20"/>
        <v/>
      </c>
      <c r="AP45" s="5">
        <f>202.25</f>
        <v>202.25</v>
      </c>
      <c r="AQ45" s="4"/>
      <c r="AR45" s="5">
        <f t="shared" si="21"/>
        <v>202.25</v>
      </c>
      <c r="AS45" s="6" t="str">
        <f t="shared" si="22"/>
        <v/>
      </c>
      <c r="AT45" s="5">
        <f>202.25</f>
        <v>202.25</v>
      </c>
      <c r="AU45" s="4"/>
      <c r="AV45" s="5">
        <f t="shared" si="23"/>
        <v>202.25</v>
      </c>
      <c r="AW45" s="6" t="str">
        <f t="shared" si="24"/>
        <v/>
      </c>
      <c r="AX45" s="5">
        <f t="shared" si="25"/>
        <v>2180.5000000000005</v>
      </c>
      <c r="AY45" s="5">
        <f t="shared" si="26"/>
        <v>0</v>
      </c>
      <c r="AZ45" s="5">
        <f t="shared" si="27"/>
        <v>2180.5000000000005</v>
      </c>
      <c r="BA45" s="6" t="str">
        <f t="shared" si="28"/>
        <v/>
      </c>
    </row>
    <row r="46" spans="1:53" x14ac:dyDescent="0.25">
      <c r="A46" s="3" t="s">
        <v>59</v>
      </c>
      <c r="B46" s="4"/>
      <c r="C46" s="4"/>
      <c r="D46" s="5">
        <f t="shared" ref="D46:D77" si="29">(B46)-(C46)</f>
        <v>0</v>
      </c>
      <c r="E46" s="6" t="str">
        <f t="shared" ref="E46:E77" si="30">IF(C46=0,"",(B46)/(C46))</f>
        <v/>
      </c>
      <c r="F46" s="5">
        <f>94.16</f>
        <v>94.16</v>
      </c>
      <c r="G46" s="4"/>
      <c r="H46" s="5">
        <f t="shared" ref="H46:H77" si="31">(F46)-(G46)</f>
        <v>94.16</v>
      </c>
      <c r="I46" s="6" t="str">
        <f t="shared" ref="I46:I77" si="32">IF(G46=0,"",(F46)/(G46))</f>
        <v/>
      </c>
      <c r="J46" s="5">
        <f>188.31</f>
        <v>188.31</v>
      </c>
      <c r="K46" s="4"/>
      <c r="L46" s="5">
        <f t="shared" ref="L46:L77" si="33">(J46)-(K46)</f>
        <v>188.31</v>
      </c>
      <c r="M46" s="6" t="str">
        <f t="shared" ref="M46:M77" si="34">IF(K46=0,"",(J46)/(K46))</f>
        <v/>
      </c>
      <c r="N46" s="5">
        <f>94.16</f>
        <v>94.16</v>
      </c>
      <c r="O46" s="4"/>
      <c r="P46" s="5">
        <f t="shared" ref="P46:P77" si="35">(N46)-(O46)</f>
        <v>94.16</v>
      </c>
      <c r="Q46" s="6" t="str">
        <f t="shared" ref="Q46:Q77" si="36">IF(O46=0,"",(N46)/(O46))</f>
        <v/>
      </c>
      <c r="R46" s="5">
        <f>94.16</f>
        <v>94.16</v>
      </c>
      <c r="S46" s="4"/>
      <c r="T46" s="5">
        <f t="shared" ref="T46:T77" si="37">(R46)-(S46)</f>
        <v>94.16</v>
      </c>
      <c r="U46" s="6" t="str">
        <f t="shared" ref="U46:U77" si="38">IF(S46=0,"",(R46)/(S46))</f>
        <v/>
      </c>
      <c r="V46" s="5">
        <f>94.16</f>
        <v>94.16</v>
      </c>
      <c r="W46" s="4"/>
      <c r="X46" s="5">
        <f t="shared" ref="X46:X77" si="39">(V46)-(W46)</f>
        <v>94.16</v>
      </c>
      <c r="Y46" s="6" t="str">
        <f t="shared" ref="Y46:Y77" si="40">IF(W46=0,"",(V46)/(W46))</f>
        <v/>
      </c>
      <c r="Z46" s="5">
        <f>94.16</f>
        <v>94.16</v>
      </c>
      <c r="AA46" s="4"/>
      <c r="AB46" s="5">
        <f t="shared" ref="AB46:AB77" si="41">(Z46)-(AA46)</f>
        <v>94.16</v>
      </c>
      <c r="AC46" s="6" t="str">
        <f t="shared" ref="AC46:AC77" si="42">IF(AA46=0,"",(Z46)/(AA46))</f>
        <v/>
      </c>
      <c r="AD46" s="5">
        <f>94.16</f>
        <v>94.16</v>
      </c>
      <c r="AE46" s="4"/>
      <c r="AF46" s="5">
        <f t="shared" ref="AF46:AF77" si="43">(AD46)-(AE46)</f>
        <v>94.16</v>
      </c>
      <c r="AG46" s="6" t="str">
        <f t="shared" ref="AG46:AG77" si="44">IF(AE46=0,"",(AD46)/(AE46))</f>
        <v/>
      </c>
      <c r="AH46" s="5">
        <f>94.16</f>
        <v>94.16</v>
      </c>
      <c r="AI46" s="4"/>
      <c r="AJ46" s="5">
        <f t="shared" ref="AJ46:AJ77" si="45">(AH46)-(AI46)</f>
        <v>94.16</v>
      </c>
      <c r="AK46" s="6" t="str">
        <f t="shared" ref="AK46:AK77" si="46">IF(AI46=0,"",(AH46)/(AI46))</f>
        <v/>
      </c>
      <c r="AL46" s="5">
        <f>108.9</f>
        <v>108.9</v>
      </c>
      <c r="AM46" s="4"/>
      <c r="AN46" s="5">
        <f t="shared" ref="AN46:AN77" si="47">(AL46)-(AM46)</f>
        <v>108.9</v>
      </c>
      <c r="AO46" s="6" t="str">
        <f t="shared" ref="AO46:AO77" si="48">IF(AM46=0,"",(AL46)/(AM46))</f>
        <v/>
      </c>
      <c r="AP46" s="5">
        <f>108.9</f>
        <v>108.9</v>
      </c>
      <c r="AQ46" s="4"/>
      <c r="AR46" s="5">
        <f t="shared" ref="AR46:AR77" si="49">(AP46)-(AQ46)</f>
        <v>108.9</v>
      </c>
      <c r="AS46" s="6" t="str">
        <f t="shared" ref="AS46:AS77" si="50">IF(AQ46=0,"",(AP46)/(AQ46))</f>
        <v/>
      </c>
      <c r="AT46" s="5">
        <f>108.9</f>
        <v>108.9</v>
      </c>
      <c r="AU46" s="4"/>
      <c r="AV46" s="5">
        <f t="shared" ref="AV46:AV77" si="51">(AT46)-(AU46)</f>
        <v>108.9</v>
      </c>
      <c r="AW46" s="6" t="str">
        <f t="shared" ref="AW46:AW77" si="52">IF(AU46=0,"",(AT46)/(AU46))</f>
        <v/>
      </c>
      <c r="AX46" s="5">
        <f t="shared" ref="AX46:AX77" si="53">(((((((((((B46)+(F46))+(J46))+(N46))+(R46))+(V46))+(Z46))+(AD46))+(AH46))+(AL46))+(AP46))+(AT46)</f>
        <v>1174.1299999999999</v>
      </c>
      <c r="AY46" s="5">
        <f t="shared" ref="AY46:AY77" si="54">(((((((((((C46)+(G46))+(K46))+(O46))+(S46))+(W46))+(AA46))+(AE46))+(AI46))+(AM46))+(AQ46))+(AU46)</f>
        <v>0</v>
      </c>
      <c r="AZ46" s="5">
        <f t="shared" ref="AZ46:AZ77" si="55">(AX46)-(AY46)</f>
        <v>1174.1299999999999</v>
      </c>
      <c r="BA46" s="6" t="str">
        <f t="shared" ref="BA46:BA77" si="56">IF(AY46=0,"",(AX46)/(AY46))</f>
        <v/>
      </c>
    </row>
    <row r="47" spans="1:53" x14ac:dyDescent="0.25">
      <c r="A47" s="3" t="s">
        <v>60</v>
      </c>
      <c r="B47" s="4"/>
      <c r="C47" s="4"/>
      <c r="D47" s="5">
        <f t="shared" si="29"/>
        <v>0</v>
      </c>
      <c r="E47" s="6" t="str">
        <f t="shared" si="30"/>
        <v/>
      </c>
      <c r="F47" s="5">
        <f>0</f>
        <v>0</v>
      </c>
      <c r="G47" s="4"/>
      <c r="H47" s="5">
        <f t="shared" si="31"/>
        <v>0</v>
      </c>
      <c r="I47" s="6" t="str">
        <f t="shared" si="32"/>
        <v/>
      </c>
      <c r="J47" s="5">
        <f>0</f>
        <v>0</v>
      </c>
      <c r="K47" s="4"/>
      <c r="L47" s="5">
        <f t="shared" si="33"/>
        <v>0</v>
      </c>
      <c r="M47" s="6" t="str">
        <f t="shared" si="34"/>
        <v/>
      </c>
      <c r="N47" s="5">
        <f>0</f>
        <v>0</v>
      </c>
      <c r="O47" s="4"/>
      <c r="P47" s="5">
        <f t="shared" si="35"/>
        <v>0</v>
      </c>
      <c r="Q47" s="6" t="str">
        <f t="shared" si="36"/>
        <v/>
      </c>
      <c r="R47" s="5">
        <f>0</f>
        <v>0</v>
      </c>
      <c r="S47" s="4"/>
      <c r="T47" s="5">
        <f t="shared" si="37"/>
        <v>0</v>
      </c>
      <c r="U47" s="6" t="str">
        <f t="shared" si="38"/>
        <v/>
      </c>
      <c r="V47" s="5">
        <f>0</f>
        <v>0</v>
      </c>
      <c r="W47" s="4"/>
      <c r="X47" s="5">
        <f t="shared" si="39"/>
        <v>0</v>
      </c>
      <c r="Y47" s="6" t="str">
        <f t="shared" si="40"/>
        <v/>
      </c>
      <c r="Z47" s="5">
        <f>0</f>
        <v>0</v>
      </c>
      <c r="AA47" s="4"/>
      <c r="AB47" s="5">
        <f t="shared" si="41"/>
        <v>0</v>
      </c>
      <c r="AC47" s="6" t="str">
        <f t="shared" si="42"/>
        <v/>
      </c>
      <c r="AD47" s="5">
        <f>0</f>
        <v>0</v>
      </c>
      <c r="AE47" s="4"/>
      <c r="AF47" s="5">
        <f t="shared" si="43"/>
        <v>0</v>
      </c>
      <c r="AG47" s="6" t="str">
        <f t="shared" si="44"/>
        <v/>
      </c>
      <c r="AH47" s="5">
        <f>0</f>
        <v>0</v>
      </c>
      <c r="AI47" s="4"/>
      <c r="AJ47" s="5">
        <f t="shared" si="45"/>
        <v>0</v>
      </c>
      <c r="AK47" s="6" t="str">
        <f t="shared" si="46"/>
        <v/>
      </c>
      <c r="AL47" s="5">
        <f>0</f>
        <v>0</v>
      </c>
      <c r="AM47" s="4"/>
      <c r="AN47" s="5">
        <f t="shared" si="47"/>
        <v>0</v>
      </c>
      <c r="AO47" s="6" t="str">
        <f t="shared" si="48"/>
        <v/>
      </c>
      <c r="AP47" s="5">
        <f>0</f>
        <v>0</v>
      </c>
      <c r="AQ47" s="4"/>
      <c r="AR47" s="5">
        <f t="shared" si="49"/>
        <v>0</v>
      </c>
      <c r="AS47" s="6" t="str">
        <f t="shared" si="50"/>
        <v/>
      </c>
      <c r="AT47" s="5">
        <f>0</f>
        <v>0</v>
      </c>
      <c r="AU47" s="4"/>
      <c r="AV47" s="5">
        <f t="shared" si="51"/>
        <v>0</v>
      </c>
      <c r="AW47" s="6" t="str">
        <f t="shared" si="52"/>
        <v/>
      </c>
      <c r="AX47" s="5">
        <f t="shared" si="53"/>
        <v>0</v>
      </c>
      <c r="AY47" s="5">
        <f t="shared" si="54"/>
        <v>0</v>
      </c>
      <c r="AZ47" s="5">
        <f t="shared" si="55"/>
        <v>0</v>
      </c>
      <c r="BA47" s="6" t="str">
        <f t="shared" si="56"/>
        <v/>
      </c>
    </row>
    <row r="48" spans="1:53" x14ac:dyDescent="0.25">
      <c r="A48" s="3" t="s">
        <v>61</v>
      </c>
      <c r="B48" s="7">
        <f>(((B44)+(B45))+(B46))+(B47)</f>
        <v>0</v>
      </c>
      <c r="C48" s="7">
        <f>(((C44)+(C45))+(C46))+(C47)</f>
        <v>237.83</v>
      </c>
      <c r="D48" s="7">
        <f t="shared" si="29"/>
        <v>-237.83</v>
      </c>
      <c r="E48" s="8">
        <f t="shared" si="30"/>
        <v>0</v>
      </c>
      <c r="F48" s="7">
        <f>(((F44)+(F45))+(F46))+(F47)</f>
        <v>269.02</v>
      </c>
      <c r="G48" s="7">
        <f>(((G44)+(G45))+(G46))+(G47)</f>
        <v>237.83</v>
      </c>
      <c r="H48" s="7">
        <f t="shared" si="31"/>
        <v>31.189999999999969</v>
      </c>
      <c r="I48" s="8">
        <f t="shared" si="32"/>
        <v>1.1311440945212965</v>
      </c>
      <c r="J48" s="7">
        <f>(((J44)+(J45))+(J46))+(J47)</f>
        <v>538.04</v>
      </c>
      <c r="K48" s="7">
        <f>(((K44)+(K45))+(K46))+(K47)</f>
        <v>237.83</v>
      </c>
      <c r="L48" s="7">
        <f t="shared" si="33"/>
        <v>300.20999999999992</v>
      </c>
      <c r="M48" s="8">
        <f t="shared" si="34"/>
        <v>2.262288189042593</v>
      </c>
      <c r="N48" s="7">
        <f>(((N44)+(N45))+(N46))+(N47)</f>
        <v>269.02</v>
      </c>
      <c r="O48" s="7">
        <f>(((O44)+(O45))+(O46))+(O47)</f>
        <v>237.83</v>
      </c>
      <c r="P48" s="7">
        <f t="shared" si="35"/>
        <v>31.189999999999969</v>
      </c>
      <c r="Q48" s="8">
        <f t="shared" si="36"/>
        <v>1.1311440945212965</v>
      </c>
      <c r="R48" s="7">
        <f>(((R44)+(R45))+(R46))+(R47)</f>
        <v>269.02</v>
      </c>
      <c r="S48" s="7">
        <f>(((S44)+(S45))+(S46))+(S47)</f>
        <v>237.83</v>
      </c>
      <c r="T48" s="7">
        <f t="shared" si="37"/>
        <v>31.189999999999969</v>
      </c>
      <c r="U48" s="8">
        <f t="shared" si="38"/>
        <v>1.1311440945212965</v>
      </c>
      <c r="V48" s="7">
        <f>(((V44)+(V45))+(V46))+(V47)</f>
        <v>269.02</v>
      </c>
      <c r="W48" s="7">
        <f>(((W44)+(W45))+(W46))+(W47)</f>
        <v>237.83</v>
      </c>
      <c r="X48" s="7">
        <f t="shared" si="39"/>
        <v>31.189999999999969</v>
      </c>
      <c r="Y48" s="8">
        <f t="shared" si="40"/>
        <v>1.1311440945212965</v>
      </c>
      <c r="Z48" s="7">
        <f>(((Z44)+(Z45))+(Z46))+(Z47)</f>
        <v>269.02</v>
      </c>
      <c r="AA48" s="7">
        <f>(((AA44)+(AA45))+(AA46))+(AA47)</f>
        <v>237.83</v>
      </c>
      <c r="AB48" s="7">
        <f t="shared" si="41"/>
        <v>31.189999999999969</v>
      </c>
      <c r="AC48" s="8">
        <f t="shared" si="42"/>
        <v>1.1311440945212965</v>
      </c>
      <c r="AD48" s="7">
        <f>(((AD44)+(AD45))+(AD46))+(AD47)</f>
        <v>269.02</v>
      </c>
      <c r="AE48" s="7">
        <f>(((AE44)+(AE45))+(AE46))+(AE47)</f>
        <v>237.83</v>
      </c>
      <c r="AF48" s="7">
        <f t="shared" si="43"/>
        <v>31.189999999999969</v>
      </c>
      <c r="AG48" s="8">
        <f t="shared" si="44"/>
        <v>1.1311440945212965</v>
      </c>
      <c r="AH48" s="7">
        <f>(((AH44)+(AH45))+(AH46))+(AH47)</f>
        <v>269.02</v>
      </c>
      <c r="AI48" s="7">
        <f>(((AI44)+(AI45))+(AI46))+(AI47)</f>
        <v>237.83</v>
      </c>
      <c r="AJ48" s="7">
        <f t="shared" si="45"/>
        <v>31.189999999999969</v>
      </c>
      <c r="AK48" s="8">
        <f t="shared" si="46"/>
        <v>1.1311440945212965</v>
      </c>
      <c r="AL48" s="7">
        <f>(((AL44)+(AL45))+(AL46))+(AL47)</f>
        <v>311.14999999999998</v>
      </c>
      <c r="AM48" s="7">
        <f>(((AM44)+(AM45))+(AM46))+(AM47)</f>
        <v>237.83</v>
      </c>
      <c r="AN48" s="7">
        <f t="shared" si="47"/>
        <v>73.319999999999965</v>
      </c>
      <c r="AO48" s="8">
        <f t="shared" si="48"/>
        <v>1.30828743219947</v>
      </c>
      <c r="AP48" s="7">
        <f>(((AP44)+(AP45))+(AP46))+(AP47)</f>
        <v>311.14999999999998</v>
      </c>
      <c r="AQ48" s="7">
        <f>(((AQ44)+(AQ45))+(AQ46))+(AQ47)</f>
        <v>237.83</v>
      </c>
      <c r="AR48" s="7">
        <f t="shared" si="49"/>
        <v>73.319999999999965</v>
      </c>
      <c r="AS48" s="8">
        <f t="shared" si="50"/>
        <v>1.30828743219947</v>
      </c>
      <c r="AT48" s="7">
        <f>(((AT44)+(AT45))+(AT46))+(AT47)</f>
        <v>311.14999999999998</v>
      </c>
      <c r="AU48" s="7">
        <f>(((AU44)+(AU45))+(AU46))+(AU47)</f>
        <v>237.83</v>
      </c>
      <c r="AV48" s="7">
        <f t="shared" si="51"/>
        <v>73.319999999999965</v>
      </c>
      <c r="AW48" s="8">
        <f t="shared" si="52"/>
        <v>1.30828743219947</v>
      </c>
      <c r="AX48" s="7">
        <f t="shared" si="53"/>
        <v>3354.63</v>
      </c>
      <c r="AY48" s="7">
        <f t="shared" si="54"/>
        <v>2853.9599999999996</v>
      </c>
      <c r="AZ48" s="7">
        <f t="shared" si="55"/>
        <v>500.67000000000053</v>
      </c>
      <c r="BA48" s="8">
        <f t="shared" si="56"/>
        <v>1.1754299289408403</v>
      </c>
    </row>
    <row r="49" spans="1:53" x14ac:dyDescent="0.25">
      <c r="A49" s="3" t="s">
        <v>62</v>
      </c>
      <c r="B49" s="4"/>
      <c r="C49" s="5">
        <f>1170</f>
        <v>1170</v>
      </c>
      <c r="D49" s="5">
        <f t="shared" si="29"/>
        <v>-1170</v>
      </c>
      <c r="E49" s="6">
        <f t="shared" si="30"/>
        <v>0</v>
      </c>
      <c r="F49" s="4"/>
      <c r="G49" s="5">
        <f>1170</f>
        <v>1170</v>
      </c>
      <c r="H49" s="5">
        <f t="shared" si="31"/>
        <v>-1170</v>
      </c>
      <c r="I49" s="6">
        <f t="shared" si="32"/>
        <v>0</v>
      </c>
      <c r="J49" s="4"/>
      <c r="K49" s="5">
        <f>1170</f>
        <v>1170</v>
      </c>
      <c r="L49" s="5">
        <f t="shared" si="33"/>
        <v>-1170</v>
      </c>
      <c r="M49" s="6">
        <f t="shared" si="34"/>
        <v>0</v>
      </c>
      <c r="N49" s="4"/>
      <c r="O49" s="5">
        <f>1170</f>
        <v>1170</v>
      </c>
      <c r="P49" s="5">
        <f t="shared" si="35"/>
        <v>-1170</v>
      </c>
      <c r="Q49" s="6">
        <f t="shared" si="36"/>
        <v>0</v>
      </c>
      <c r="R49" s="4"/>
      <c r="S49" s="5">
        <f>1170</f>
        <v>1170</v>
      </c>
      <c r="T49" s="5">
        <f t="shared" si="37"/>
        <v>-1170</v>
      </c>
      <c r="U49" s="6">
        <f t="shared" si="38"/>
        <v>0</v>
      </c>
      <c r="V49" s="4"/>
      <c r="W49" s="5">
        <f>1170</f>
        <v>1170</v>
      </c>
      <c r="X49" s="5">
        <f t="shared" si="39"/>
        <v>-1170</v>
      </c>
      <c r="Y49" s="6">
        <f t="shared" si="40"/>
        <v>0</v>
      </c>
      <c r="Z49" s="4"/>
      <c r="AA49" s="5">
        <f>1170</f>
        <v>1170</v>
      </c>
      <c r="AB49" s="5">
        <f t="shared" si="41"/>
        <v>-1170</v>
      </c>
      <c r="AC49" s="6">
        <f t="shared" si="42"/>
        <v>0</v>
      </c>
      <c r="AD49" s="4"/>
      <c r="AE49" s="5">
        <f>1170</f>
        <v>1170</v>
      </c>
      <c r="AF49" s="5">
        <f t="shared" si="43"/>
        <v>-1170</v>
      </c>
      <c r="AG49" s="6">
        <f t="shared" si="44"/>
        <v>0</v>
      </c>
      <c r="AH49" s="4"/>
      <c r="AI49" s="5">
        <f>1170</f>
        <v>1170</v>
      </c>
      <c r="AJ49" s="5">
        <f t="shared" si="45"/>
        <v>-1170</v>
      </c>
      <c r="AK49" s="6">
        <f t="shared" si="46"/>
        <v>0</v>
      </c>
      <c r="AL49" s="4"/>
      <c r="AM49" s="5">
        <f>1170</f>
        <v>1170</v>
      </c>
      <c r="AN49" s="5">
        <f t="shared" si="47"/>
        <v>-1170</v>
      </c>
      <c r="AO49" s="6">
        <f t="shared" si="48"/>
        <v>0</v>
      </c>
      <c r="AP49" s="4"/>
      <c r="AQ49" s="5">
        <f>1170</f>
        <v>1170</v>
      </c>
      <c r="AR49" s="5">
        <f t="shared" si="49"/>
        <v>-1170</v>
      </c>
      <c r="AS49" s="6">
        <f t="shared" si="50"/>
        <v>0</v>
      </c>
      <c r="AT49" s="4"/>
      <c r="AU49" s="5">
        <f>1170</f>
        <v>1170</v>
      </c>
      <c r="AV49" s="5">
        <f t="shared" si="51"/>
        <v>-1170</v>
      </c>
      <c r="AW49" s="6">
        <f t="shared" si="52"/>
        <v>0</v>
      </c>
      <c r="AX49" s="5">
        <f t="shared" si="53"/>
        <v>0</v>
      </c>
      <c r="AY49" s="5">
        <f t="shared" si="54"/>
        <v>14040</v>
      </c>
      <c r="AZ49" s="5">
        <f t="shared" si="55"/>
        <v>-14040</v>
      </c>
      <c r="BA49" s="6">
        <f t="shared" si="56"/>
        <v>0</v>
      </c>
    </row>
    <row r="50" spans="1:53" x14ac:dyDescent="0.25">
      <c r="A50" s="3" t="s">
        <v>63</v>
      </c>
      <c r="B50" s="5">
        <f>745.23</f>
        <v>745.23</v>
      </c>
      <c r="C50" s="4"/>
      <c r="D50" s="5">
        <f t="shared" si="29"/>
        <v>745.23</v>
      </c>
      <c r="E50" s="6" t="str">
        <f t="shared" si="30"/>
        <v/>
      </c>
      <c r="F50" s="5">
        <f>1053.65</f>
        <v>1053.6500000000001</v>
      </c>
      <c r="G50" s="4"/>
      <c r="H50" s="5">
        <f t="shared" si="31"/>
        <v>1053.6500000000001</v>
      </c>
      <c r="I50" s="6" t="str">
        <f t="shared" si="32"/>
        <v/>
      </c>
      <c r="J50" s="5">
        <f>643.83</f>
        <v>643.83000000000004</v>
      </c>
      <c r="K50" s="4"/>
      <c r="L50" s="5">
        <f t="shared" si="33"/>
        <v>643.83000000000004</v>
      </c>
      <c r="M50" s="6" t="str">
        <f t="shared" si="34"/>
        <v/>
      </c>
      <c r="N50" s="5">
        <f>791.7</f>
        <v>791.7</v>
      </c>
      <c r="O50" s="4"/>
      <c r="P50" s="5">
        <f t="shared" si="35"/>
        <v>791.7</v>
      </c>
      <c r="Q50" s="6" t="str">
        <f t="shared" si="36"/>
        <v/>
      </c>
      <c r="R50" s="5">
        <f>945.43</f>
        <v>945.43</v>
      </c>
      <c r="S50" s="4"/>
      <c r="T50" s="5">
        <f t="shared" si="37"/>
        <v>945.43</v>
      </c>
      <c r="U50" s="6" t="str">
        <f t="shared" si="38"/>
        <v/>
      </c>
      <c r="V50" s="5">
        <f>821.28</f>
        <v>821.28</v>
      </c>
      <c r="W50" s="4"/>
      <c r="X50" s="5">
        <f t="shared" si="39"/>
        <v>821.28</v>
      </c>
      <c r="Y50" s="6" t="str">
        <f t="shared" si="40"/>
        <v/>
      </c>
      <c r="Z50" s="5">
        <f>690.3</f>
        <v>690.3</v>
      </c>
      <c r="AA50" s="4"/>
      <c r="AB50" s="5">
        <f t="shared" si="41"/>
        <v>690.3</v>
      </c>
      <c r="AC50" s="6" t="str">
        <f t="shared" si="42"/>
        <v/>
      </c>
      <c r="AD50" s="5">
        <f>742.99</f>
        <v>742.99</v>
      </c>
      <c r="AE50" s="4"/>
      <c r="AF50" s="5">
        <f t="shared" si="43"/>
        <v>742.99</v>
      </c>
      <c r="AG50" s="6" t="str">
        <f t="shared" si="44"/>
        <v/>
      </c>
      <c r="AH50" s="5">
        <f>555.1</f>
        <v>555.1</v>
      </c>
      <c r="AI50" s="4"/>
      <c r="AJ50" s="5">
        <f t="shared" si="45"/>
        <v>555.1</v>
      </c>
      <c r="AK50" s="6" t="str">
        <f t="shared" si="46"/>
        <v/>
      </c>
      <c r="AL50" s="5">
        <f>505.69</f>
        <v>505.69</v>
      </c>
      <c r="AM50" s="4"/>
      <c r="AN50" s="5">
        <f t="shared" si="47"/>
        <v>505.69</v>
      </c>
      <c r="AO50" s="6" t="str">
        <f t="shared" si="48"/>
        <v/>
      </c>
      <c r="AP50" s="5">
        <f>636.84</f>
        <v>636.84</v>
      </c>
      <c r="AQ50" s="4"/>
      <c r="AR50" s="5">
        <f t="shared" si="49"/>
        <v>636.84</v>
      </c>
      <c r="AS50" s="6" t="str">
        <f t="shared" si="50"/>
        <v/>
      </c>
      <c r="AT50" s="5">
        <f>527.15</f>
        <v>527.15</v>
      </c>
      <c r="AU50" s="4"/>
      <c r="AV50" s="5">
        <f t="shared" si="51"/>
        <v>527.15</v>
      </c>
      <c r="AW50" s="6" t="str">
        <f t="shared" si="52"/>
        <v/>
      </c>
      <c r="AX50" s="5">
        <f t="shared" si="53"/>
        <v>8659.19</v>
      </c>
      <c r="AY50" s="5">
        <f t="shared" si="54"/>
        <v>0</v>
      </c>
      <c r="AZ50" s="5">
        <f t="shared" si="55"/>
        <v>8659.19</v>
      </c>
      <c r="BA50" s="6" t="str">
        <f t="shared" si="56"/>
        <v/>
      </c>
    </row>
    <row r="51" spans="1:53" x14ac:dyDescent="0.25">
      <c r="A51" s="3" t="s">
        <v>64</v>
      </c>
      <c r="B51" s="5">
        <f>401.27</f>
        <v>401.27</v>
      </c>
      <c r="C51" s="4"/>
      <c r="D51" s="5">
        <f t="shared" si="29"/>
        <v>401.27</v>
      </c>
      <c r="E51" s="6" t="str">
        <f t="shared" si="30"/>
        <v/>
      </c>
      <c r="F51" s="5">
        <f>567.35</f>
        <v>567.35</v>
      </c>
      <c r="G51" s="4"/>
      <c r="H51" s="5">
        <f t="shared" si="31"/>
        <v>567.35</v>
      </c>
      <c r="I51" s="6" t="str">
        <f t="shared" si="32"/>
        <v/>
      </c>
      <c r="J51" s="5">
        <f>346.67</f>
        <v>346.67</v>
      </c>
      <c r="K51" s="4"/>
      <c r="L51" s="5">
        <f t="shared" si="33"/>
        <v>346.67</v>
      </c>
      <c r="M51" s="6" t="str">
        <f t="shared" si="34"/>
        <v/>
      </c>
      <c r="N51" s="5">
        <f>426.3</f>
        <v>426.3</v>
      </c>
      <c r="O51" s="4"/>
      <c r="P51" s="5">
        <f t="shared" si="35"/>
        <v>426.3</v>
      </c>
      <c r="Q51" s="6" t="str">
        <f t="shared" si="36"/>
        <v/>
      </c>
      <c r="R51" s="5">
        <f>509.08</f>
        <v>509.08</v>
      </c>
      <c r="S51" s="4"/>
      <c r="T51" s="5">
        <f t="shared" si="37"/>
        <v>509.08</v>
      </c>
      <c r="U51" s="6" t="str">
        <f t="shared" si="38"/>
        <v/>
      </c>
      <c r="V51" s="5">
        <f>442.23</f>
        <v>442.23</v>
      </c>
      <c r="W51" s="4"/>
      <c r="X51" s="5">
        <f t="shared" si="39"/>
        <v>442.23</v>
      </c>
      <c r="Y51" s="6" t="str">
        <f t="shared" si="40"/>
        <v/>
      </c>
      <c r="Z51" s="5">
        <f>371.7</f>
        <v>371.7</v>
      </c>
      <c r="AA51" s="4"/>
      <c r="AB51" s="5">
        <f t="shared" si="41"/>
        <v>371.7</v>
      </c>
      <c r="AC51" s="6" t="str">
        <f t="shared" si="42"/>
        <v/>
      </c>
      <c r="AD51" s="5">
        <f>400.07</f>
        <v>400.07</v>
      </c>
      <c r="AE51" s="4"/>
      <c r="AF51" s="5">
        <f t="shared" si="43"/>
        <v>400.07</v>
      </c>
      <c r="AG51" s="6" t="str">
        <f t="shared" si="44"/>
        <v/>
      </c>
      <c r="AH51" s="5">
        <f>298.9</f>
        <v>298.89999999999998</v>
      </c>
      <c r="AI51" s="4"/>
      <c r="AJ51" s="5">
        <f t="shared" si="45"/>
        <v>298.89999999999998</v>
      </c>
      <c r="AK51" s="6" t="str">
        <f t="shared" si="46"/>
        <v/>
      </c>
      <c r="AL51" s="5">
        <f>272.29</f>
        <v>272.29000000000002</v>
      </c>
      <c r="AM51" s="4"/>
      <c r="AN51" s="5">
        <f t="shared" si="47"/>
        <v>272.29000000000002</v>
      </c>
      <c r="AO51" s="6" t="str">
        <f t="shared" si="48"/>
        <v/>
      </c>
      <c r="AP51" s="5">
        <f>342.91</f>
        <v>342.91</v>
      </c>
      <c r="AQ51" s="4"/>
      <c r="AR51" s="5">
        <f t="shared" si="49"/>
        <v>342.91</v>
      </c>
      <c r="AS51" s="6" t="str">
        <f t="shared" si="50"/>
        <v/>
      </c>
      <c r="AT51" s="5">
        <f>283.85</f>
        <v>283.85000000000002</v>
      </c>
      <c r="AU51" s="4"/>
      <c r="AV51" s="5">
        <f t="shared" si="51"/>
        <v>283.85000000000002</v>
      </c>
      <c r="AW51" s="6" t="str">
        <f t="shared" si="52"/>
        <v/>
      </c>
      <c r="AX51" s="5">
        <f t="shared" si="53"/>
        <v>4662.6200000000008</v>
      </c>
      <c r="AY51" s="5">
        <f t="shared" si="54"/>
        <v>0</v>
      </c>
      <c r="AZ51" s="5">
        <f t="shared" si="55"/>
        <v>4662.6200000000008</v>
      </c>
      <c r="BA51" s="6" t="str">
        <f t="shared" si="56"/>
        <v/>
      </c>
    </row>
    <row r="52" spans="1:53" x14ac:dyDescent="0.25">
      <c r="A52" s="3" t="s">
        <v>65</v>
      </c>
      <c r="B52" s="5">
        <f>0</f>
        <v>0</v>
      </c>
      <c r="C52" s="4"/>
      <c r="D52" s="5">
        <f t="shared" si="29"/>
        <v>0</v>
      </c>
      <c r="E52" s="6" t="str">
        <f t="shared" si="30"/>
        <v/>
      </c>
      <c r="F52" s="5">
        <f>0</f>
        <v>0</v>
      </c>
      <c r="G52" s="4"/>
      <c r="H52" s="5">
        <f t="shared" si="31"/>
        <v>0</v>
      </c>
      <c r="I52" s="6" t="str">
        <f t="shared" si="32"/>
        <v/>
      </c>
      <c r="J52" s="5">
        <f>0</f>
        <v>0</v>
      </c>
      <c r="K52" s="4"/>
      <c r="L52" s="5">
        <f t="shared" si="33"/>
        <v>0</v>
      </c>
      <c r="M52" s="6" t="str">
        <f t="shared" si="34"/>
        <v/>
      </c>
      <c r="N52" s="5">
        <f>0</f>
        <v>0</v>
      </c>
      <c r="O52" s="4"/>
      <c r="P52" s="5">
        <f t="shared" si="35"/>
        <v>0</v>
      </c>
      <c r="Q52" s="6" t="str">
        <f t="shared" si="36"/>
        <v/>
      </c>
      <c r="R52" s="5">
        <f>0</f>
        <v>0</v>
      </c>
      <c r="S52" s="4"/>
      <c r="T52" s="5">
        <f t="shared" si="37"/>
        <v>0</v>
      </c>
      <c r="U52" s="6" t="str">
        <f t="shared" si="38"/>
        <v/>
      </c>
      <c r="V52" s="5">
        <f>0</f>
        <v>0</v>
      </c>
      <c r="W52" s="4"/>
      <c r="X52" s="5">
        <f t="shared" si="39"/>
        <v>0</v>
      </c>
      <c r="Y52" s="6" t="str">
        <f t="shared" si="40"/>
        <v/>
      </c>
      <c r="Z52" s="5">
        <f>0</f>
        <v>0</v>
      </c>
      <c r="AA52" s="4"/>
      <c r="AB52" s="5">
        <f t="shared" si="41"/>
        <v>0</v>
      </c>
      <c r="AC52" s="6" t="str">
        <f t="shared" si="42"/>
        <v/>
      </c>
      <c r="AD52" s="5">
        <f>0</f>
        <v>0</v>
      </c>
      <c r="AE52" s="4"/>
      <c r="AF52" s="5">
        <f t="shared" si="43"/>
        <v>0</v>
      </c>
      <c r="AG52" s="6" t="str">
        <f t="shared" si="44"/>
        <v/>
      </c>
      <c r="AH52" s="5">
        <f>0</f>
        <v>0</v>
      </c>
      <c r="AI52" s="4"/>
      <c r="AJ52" s="5">
        <f t="shared" si="45"/>
        <v>0</v>
      </c>
      <c r="AK52" s="6" t="str">
        <f t="shared" si="46"/>
        <v/>
      </c>
      <c r="AL52" s="5">
        <f>0</f>
        <v>0</v>
      </c>
      <c r="AM52" s="4"/>
      <c r="AN52" s="5">
        <f t="shared" si="47"/>
        <v>0</v>
      </c>
      <c r="AO52" s="6" t="str">
        <f t="shared" si="48"/>
        <v/>
      </c>
      <c r="AP52" s="5">
        <f>0</f>
        <v>0</v>
      </c>
      <c r="AQ52" s="4"/>
      <c r="AR52" s="5">
        <f t="shared" si="49"/>
        <v>0</v>
      </c>
      <c r="AS52" s="6" t="str">
        <f t="shared" si="50"/>
        <v/>
      </c>
      <c r="AT52" s="5">
        <f>0</f>
        <v>0</v>
      </c>
      <c r="AU52" s="4"/>
      <c r="AV52" s="5">
        <f t="shared" si="51"/>
        <v>0</v>
      </c>
      <c r="AW52" s="6" t="str">
        <f t="shared" si="52"/>
        <v/>
      </c>
      <c r="AX52" s="5">
        <f t="shared" si="53"/>
        <v>0</v>
      </c>
      <c r="AY52" s="5">
        <f t="shared" si="54"/>
        <v>0</v>
      </c>
      <c r="AZ52" s="5">
        <f t="shared" si="55"/>
        <v>0</v>
      </c>
      <c r="BA52" s="6" t="str">
        <f t="shared" si="56"/>
        <v/>
      </c>
    </row>
    <row r="53" spans="1:53" x14ac:dyDescent="0.25">
      <c r="A53" s="3" t="s">
        <v>66</v>
      </c>
      <c r="B53" s="7">
        <f>(((B49)+(B50))+(B51))+(B52)</f>
        <v>1146.5</v>
      </c>
      <c r="C53" s="7">
        <f>(((C49)+(C50))+(C51))+(C52)</f>
        <v>1170</v>
      </c>
      <c r="D53" s="7">
        <f t="shared" si="29"/>
        <v>-23.5</v>
      </c>
      <c r="E53" s="8">
        <f t="shared" si="30"/>
        <v>0.97991452991452987</v>
      </c>
      <c r="F53" s="7">
        <f>(((F49)+(F50))+(F51))+(F52)</f>
        <v>1621</v>
      </c>
      <c r="G53" s="7">
        <f>(((G49)+(G50))+(G51))+(G52)</f>
        <v>1170</v>
      </c>
      <c r="H53" s="7">
        <f t="shared" si="31"/>
        <v>451</v>
      </c>
      <c r="I53" s="8">
        <f t="shared" si="32"/>
        <v>1.3854700854700854</v>
      </c>
      <c r="J53" s="7">
        <f>(((J49)+(J50))+(J51))+(J52)</f>
        <v>990.5</v>
      </c>
      <c r="K53" s="7">
        <f>(((K49)+(K50))+(K51))+(K52)</f>
        <v>1170</v>
      </c>
      <c r="L53" s="7">
        <f t="shared" si="33"/>
        <v>-179.5</v>
      </c>
      <c r="M53" s="8">
        <f t="shared" si="34"/>
        <v>0.84658119658119657</v>
      </c>
      <c r="N53" s="7">
        <f>(((N49)+(N50))+(N51))+(N52)</f>
        <v>1218</v>
      </c>
      <c r="O53" s="7">
        <f>(((O49)+(O50))+(O51))+(O52)</f>
        <v>1170</v>
      </c>
      <c r="P53" s="7">
        <f t="shared" si="35"/>
        <v>48</v>
      </c>
      <c r="Q53" s="8">
        <f t="shared" si="36"/>
        <v>1.0410256410256411</v>
      </c>
      <c r="R53" s="7">
        <f>(((R49)+(R50))+(R51))+(R52)</f>
        <v>1454.51</v>
      </c>
      <c r="S53" s="7">
        <f>(((S49)+(S50))+(S51))+(S52)</f>
        <v>1170</v>
      </c>
      <c r="T53" s="7">
        <f t="shared" si="37"/>
        <v>284.51</v>
      </c>
      <c r="U53" s="8">
        <f t="shared" si="38"/>
        <v>1.2431709401709401</v>
      </c>
      <c r="V53" s="7">
        <f>(((V49)+(V50))+(V51))+(V52)</f>
        <v>1263.51</v>
      </c>
      <c r="W53" s="7">
        <f>(((W49)+(W50))+(W51))+(W52)</f>
        <v>1170</v>
      </c>
      <c r="X53" s="7">
        <f t="shared" si="39"/>
        <v>93.509999999999991</v>
      </c>
      <c r="Y53" s="8">
        <f t="shared" si="40"/>
        <v>1.079923076923077</v>
      </c>
      <c r="Z53" s="7">
        <f>(((Z49)+(Z50))+(Z51))+(Z52)</f>
        <v>1062</v>
      </c>
      <c r="AA53" s="7">
        <f>(((AA49)+(AA50))+(AA51))+(AA52)</f>
        <v>1170</v>
      </c>
      <c r="AB53" s="7">
        <f t="shared" si="41"/>
        <v>-108</v>
      </c>
      <c r="AC53" s="8">
        <f t="shared" si="42"/>
        <v>0.90769230769230769</v>
      </c>
      <c r="AD53" s="7">
        <f>(((AD49)+(AD50))+(AD51))+(AD52)</f>
        <v>1143.06</v>
      </c>
      <c r="AE53" s="7">
        <f>(((AE49)+(AE50))+(AE51))+(AE52)</f>
        <v>1170</v>
      </c>
      <c r="AF53" s="7">
        <f t="shared" si="43"/>
        <v>-26.940000000000055</v>
      </c>
      <c r="AG53" s="8">
        <f t="shared" si="44"/>
        <v>0.97697435897435891</v>
      </c>
      <c r="AH53" s="7">
        <f>(((AH49)+(AH50))+(AH51))+(AH52)</f>
        <v>854</v>
      </c>
      <c r="AI53" s="7">
        <f>(((AI49)+(AI50))+(AI51))+(AI52)</f>
        <v>1170</v>
      </c>
      <c r="AJ53" s="7">
        <f t="shared" si="45"/>
        <v>-316</v>
      </c>
      <c r="AK53" s="8">
        <f t="shared" si="46"/>
        <v>0.72991452991452987</v>
      </c>
      <c r="AL53" s="7">
        <f>(((AL49)+(AL50))+(AL51))+(AL52)</f>
        <v>777.98</v>
      </c>
      <c r="AM53" s="7">
        <f>(((AM49)+(AM50))+(AM51))+(AM52)</f>
        <v>1170</v>
      </c>
      <c r="AN53" s="7">
        <f t="shared" si="47"/>
        <v>-392.02</v>
      </c>
      <c r="AO53" s="8">
        <f t="shared" si="48"/>
        <v>0.66494017094017099</v>
      </c>
      <c r="AP53" s="7">
        <f>(((AP49)+(AP50))+(AP51))+(AP52)</f>
        <v>979.75</v>
      </c>
      <c r="AQ53" s="7">
        <f>(((AQ49)+(AQ50))+(AQ51))+(AQ52)</f>
        <v>1170</v>
      </c>
      <c r="AR53" s="7">
        <f t="shared" si="49"/>
        <v>-190.25</v>
      </c>
      <c r="AS53" s="8">
        <f t="shared" si="50"/>
        <v>0.83739316239316242</v>
      </c>
      <c r="AT53" s="7">
        <f>(((AT49)+(AT50))+(AT51))+(AT52)</f>
        <v>811</v>
      </c>
      <c r="AU53" s="7">
        <f>(((AU49)+(AU50))+(AU51))+(AU52)</f>
        <v>1170</v>
      </c>
      <c r="AV53" s="7">
        <f t="shared" si="51"/>
        <v>-359</v>
      </c>
      <c r="AW53" s="8">
        <f t="shared" si="52"/>
        <v>0.69316239316239314</v>
      </c>
      <c r="AX53" s="7">
        <f t="shared" si="53"/>
        <v>13321.81</v>
      </c>
      <c r="AY53" s="7">
        <f t="shared" si="54"/>
        <v>14040</v>
      </c>
      <c r="AZ53" s="7">
        <f t="shared" si="55"/>
        <v>-718.19000000000051</v>
      </c>
      <c r="BA53" s="8">
        <f t="shared" si="56"/>
        <v>0.94884686609686608</v>
      </c>
    </row>
    <row r="54" spans="1:53" x14ac:dyDescent="0.25">
      <c r="A54" s="3" t="s">
        <v>67</v>
      </c>
      <c r="B54" s="4"/>
      <c r="C54" s="4"/>
      <c r="D54" s="5">
        <f t="shared" si="29"/>
        <v>0</v>
      </c>
      <c r="E54" s="6" t="str">
        <f t="shared" si="30"/>
        <v/>
      </c>
      <c r="F54" s="4"/>
      <c r="G54" s="4"/>
      <c r="H54" s="5">
        <f t="shared" si="31"/>
        <v>0</v>
      </c>
      <c r="I54" s="6" t="str">
        <f t="shared" si="32"/>
        <v/>
      </c>
      <c r="J54" s="4"/>
      <c r="K54" s="4"/>
      <c r="L54" s="5">
        <f t="shared" si="33"/>
        <v>0</v>
      </c>
      <c r="M54" s="6" t="str">
        <f t="shared" si="34"/>
        <v/>
      </c>
      <c r="N54" s="4"/>
      <c r="O54" s="4"/>
      <c r="P54" s="5">
        <f t="shared" si="35"/>
        <v>0</v>
      </c>
      <c r="Q54" s="6" t="str">
        <f t="shared" si="36"/>
        <v/>
      </c>
      <c r="R54" s="4"/>
      <c r="S54" s="4"/>
      <c r="T54" s="5">
        <f t="shared" si="37"/>
        <v>0</v>
      </c>
      <c r="U54" s="6" t="str">
        <f t="shared" si="38"/>
        <v/>
      </c>
      <c r="V54" s="4"/>
      <c r="W54" s="4"/>
      <c r="X54" s="5">
        <f t="shared" si="39"/>
        <v>0</v>
      </c>
      <c r="Y54" s="6" t="str">
        <f t="shared" si="40"/>
        <v/>
      </c>
      <c r="Z54" s="4"/>
      <c r="AA54" s="4"/>
      <c r="AB54" s="5">
        <f t="shared" si="41"/>
        <v>0</v>
      </c>
      <c r="AC54" s="6" t="str">
        <f t="shared" si="42"/>
        <v/>
      </c>
      <c r="AD54" s="4"/>
      <c r="AE54" s="4"/>
      <c r="AF54" s="5">
        <f t="shared" si="43"/>
        <v>0</v>
      </c>
      <c r="AG54" s="6" t="str">
        <f t="shared" si="44"/>
        <v/>
      </c>
      <c r="AH54" s="4"/>
      <c r="AI54" s="4"/>
      <c r="AJ54" s="5">
        <f t="shared" si="45"/>
        <v>0</v>
      </c>
      <c r="AK54" s="6" t="str">
        <f t="shared" si="46"/>
        <v/>
      </c>
      <c r="AL54" s="4"/>
      <c r="AM54" s="4"/>
      <c r="AN54" s="5">
        <f t="shared" si="47"/>
        <v>0</v>
      </c>
      <c r="AO54" s="6" t="str">
        <f t="shared" si="48"/>
        <v/>
      </c>
      <c r="AP54" s="4"/>
      <c r="AQ54" s="4"/>
      <c r="AR54" s="5">
        <f t="shared" si="49"/>
        <v>0</v>
      </c>
      <c r="AS54" s="6" t="str">
        <f t="shared" si="50"/>
        <v/>
      </c>
      <c r="AT54" s="4"/>
      <c r="AU54" s="4"/>
      <c r="AV54" s="5">
        <f t="shared" si="51"/>
        <v>0</v>
      </c>
      <c r="AW54" s="6" t="str">
        <f t="shared" si="52"/>
        <v/>
      </c>
      <c r="AX54" s="5">
        <f t="shared" si="53"/>
        <v>0</v>
      </c>
      <c r="AY54" s="5">
        <f t="shared" si="54"/>
        <v>0</v>
      </c>
      <c r="AZ54" s="5">
        <f t="shared" si="55"/>
        <v>0</v>
      </c>
      <c r="BA54" s="6" t="str">
        <f t="shared" si="56"/>
        <v/>
      </c>
    </row>
    <row r="55" spans="1:53" x14ac:dyDescent="0.25">
      <c r="A55" s="3" t="s">
        <v>68</v>
      </c>
      <c r="B55" s="4"/>
      <c r="C55" s="4"/>
      <c r="D55" s="5">
        <f t="shared" si="29"/>
        <v>0</v>
      </c>
      <c r="E55" s="6" t="str">
        <f t="shared" si="30"/>
        <v/>
      </c>
      <c r="F55" s="4"/>
      <c r="G55" s="4"/>
      <c r="H55" s="5">
        <f t="shared" si="31"/>
        <v>0</v>
      </c>
      <c r="I55" s="6" t="str">
        <f t="shared" si="32"/>
        <v/>
      </c>
      <c r="J55" s="4"/>
      <c r="K55" s="4"/>
      <c r="L55" s="5">
        <f t="shared" si="33"/>
        <v>0</v>
      </c>
      <c r="M55" s="6" t="str">
        <f t="shared" si="34"/>
        <v/>
      </c>
      <c r="N55" s="4"/>
      <c r="O55" s="4"/>
      <c r="P55" s="5">
        <f t="shared" si="35"/>
        <v>0</v>
      </c>
      <c r="Q55" s="6" t="str">
        <f t="shared" si="36"/>
        <v/>
      </c>
      <c r="R55" s="4"/>
      <c r="S55" s="4"/>
      <c r="T55" s="5">
        <f t="shared" si="37"/>
        <v>0</v>
      </c>
      <c r="U55" s="6" t="str">
        <f t="shared" si="38"/>
        <v/>
      </c>
      <c r="V55" s="4"/>
      <c r="W55" s="4"/>
      <c r="X55" s="5">
        <f t="shared" si="39"/>
        <v>0</v>
      </c>
      <c r="Y55" s="6" t="str">
        <f t="shared" si="40"/>
        <v/>
      </c>
      <c r="Z55" s="4"/>
      <c r="AA55" s="4"/>
      <c r="AB55" s="5">
        <f t="shared" si="41"/>
        <v>0</v>
      </c>
      <c r="AC55" s="6" t="str">
        <f t="shared" si="42"/>
        <v/>
      </c>
      <c r="AD55" s="4"/>
      <c r="AE55" s="4"/>
      <c r="AF55" s="5">
        <f t="shared" si="43"/>
        <v>0</v>
      </c>
      <c r="AG55" s="6" t="str">
        <f t="shared" si="44"/>
        <v/>
      </c>
      <c r="AH55" s="4"/>
      <c r="AI55" s="4"/>
      <c r="AJ55" s="5">
        <f t="shared" si="45"/>
        <v>0</v>
      </c>
      <c r="AK55" s="6" t="str">
        <f t="shared" si="46"/>
        <v/>
      </c>
      <c r="AL55" s="4"/>
      <c r="AM55" s="4"/>
      <c r="AN55" s="5">
        <f t="shared" si="47"/>
        <v>0</v>
      </c>
      <c r="AO55" s="6" t="str">
        <f t="shared" si="48"/>
        <v/>
      </c>
      <c r="AP55" s="4"/>
      <c r="AQ55" s="4"/>
      <c r="AR55" s="5">
        <f t="shared" si="49"/>
        <v>0</v>
      </c>
      <c r="AS55" s="6" t="str">
        <f t="shared" si="50"/>
        <v/>
      </c>
      <c r="AT55" s="5">
        <f>2955.14</f>
        <v>2955.14</v>
      </c>
      <c r="AU55" s="4"/>
      <c r="AV55" s="5">
        <f t="shared" si="51"/>
        <v>2955.14</v>
      </c>
      <c r="AW55" s="6" t="str">
        <f t="shared" si="52"/>
        <v/>
      </c>
      <c r="AX55" s="5">
        <f t="shared" si="53"/>
        <v>2955.14</v>
      </c>
      <c r="AY55" s="5">
        <f t="shared" si="54"/>
        <v>0</v>
      </c>
      <c r="AZ55" s="5">
        <f t="shared" si="55"/>
        <v>2955.14</v>
      </c>
      <c r="BA55" s="6" t="str">
        <f t="shared" si="56"/>
        <v/>
      </c>
    </row>
    <row r="56" spans="1:53" x14ac:dyDescent="0.25">
      <c r="A56" s="3" t="s">
        <v>69</v>
      </c>
      <c r="B56" s="4"/>
      <c r="C56" s="4"/>
      <c r="D56" s="5">
        <f t="shared" si="29"/>
        <v>0</v>
      </c>
      <c r="E56" s="6" t="str">
        <f t="shared" si="30"/>
        <v/>
      </c>
      <c r="F56" s="4"/>
      <c r="G56" s="4"/>
      <c r="H56" s="5">
        <f t="shared" si="31"/>
        <v>0</v>
      </c>
      <c r="I56" s="6" t="str">
        <f t="shared" si="32"/>
        <v/>
      </c>
      <c r="J56" s="4"/>
      <c r="K56" s="4"/>
      <c r="L56" s="5">
        <f t="shared" si="33"/>
        <v>0</v>
      </c>
      <c r="M56" s="6" t="str">
        <f t="shared" si="34"/>
        <v/>
      </c>
      <c r="N56" s="4"/>
      <c r="O56" s="4"/>
      <c r="P56" s="5">
        <f t="shared" si="35"/>
        <v>0</v>
      </c>
      <c r="Q56" s="6" t="str">
        <f t="shared" si="36"/>
        <v/>
      </c>
      <c r="R56" s="4"/>
      <c r="S56" s="4"/>
      <c r="T56" s="5">
        <f t="shared" si="37"/>
        <v>0</v>
      </c>
      <c r="U56" s="6" t="str">
        <f t="shared" si="38"/>
        <v/>
      </c>
      <c r="V56" s="4"/>
      <c r="W56" s="4"/>
      <c r="X56" s="5">
        <f t="shared" si="39"/>
        <v>0</v>
      </c>
      <c r="Y56" s="6" t="str">
        <f t="shared" si="40"/>
        <v/>
      </c>
      <c r="Z56" s="4"/>
      <c r="AA56" s="4"/>
      <c r="AB56" s="5">
        <f t="shared" si="41"/>
        <v>0</v>
      </c>
      <c r="AC56" s="6" t="str">
        <f t="shared" si="42"/>
        <v/>
      </c>
      <c r="AD56" s="4"/>
      <c r="AE56" s="4"/>
      <c r="AF56" s="5">
        <f t="shared" si="43"/>
        <v>0</v>
      </c>
      <c r="AG56" s="6" t="str">
        <f t="shared" si="44"/>
        <v/>
      </c>
      <c r="AH56" s="4"/>
      <c r="AI56" s="4"/>
      <c r="AJ56" s="5">
        <f t="shared" si="45"/>
        <v>0</v>
      </c>
      <c r="AK56" s="6" t="str">
        <f t="shared" si="46"/>
        <v/>
      </c>
      <c r="AL56" s="4"/>
      <c r="AM56" s="4"/>
      <c r="AN56" s="5">
        <f t="shared" si="47"/>
        <v>0</v>
      </c>
      <c r="AO56" s="6" t="str">
        <f t="shared" si="48"/>
        <v/>
      </c>
      <c r="AP56" s="4"/>
      <c r="AQ56" s="4"/>
      <c r="AR56" s="5">
        <f t="shared" si="49"/>
        <v>0</v>
      </c>
      <c r="AS56" s="6" t="str">
        <f t="shared" si="50"/>
        <v/>
      </c>
      <c r="AT56" s="5">
        <f>1591.23</f>
        <v>1591.23</v>
      </c>
      <c r="AU56" s="4"/>
      <c r="AV56" s="5">
        <f t="shared" si="51"/>
        <v>1591.23</v>
      </c>
      <c r="AW56" s="6" t="str">
        <f t="shared" si="52"/>
        <v/>
      </c>
      <c r="AX56" s="5">
        <f t="shared" si="53"/>
        <v>1591.23</v>
      </c>
      <c r="AY56" s="5">
        <f t="shared" si="54"/>
        <v>0</v>
      </c>
      <c r="AZ56" s="5">
        <f t="shared" si="55"/>
        <v>1591.23</v>
      </c>
      <c r="BA56" s="6" t="str">
        <f t="shared" si="56"/>
        <v/>
      </c>
    </row>
    <row r="57" spans="1:53" x14ac:dyDescent="0.25">
      <c r="A57" s="3" t="s">
        <v>70</v>
      </c>
      <c r="B57" s="4"/>
      <c r="C57" s="4"/>
      <c r="D57" s="5">
        <f t="shared" si="29"/>
        <v>0</v>
      </c>
      <c r="E57" s="6" t="str">
        <f t="shared" si="30"/>
        <v/>
      </c>
      <c r="F57" s="4"/>
      <c r="G57" s="4"/>
      <c r="H57" s="5">
        <f t="shared" si="31"/>
        <v>0</v>
      </c>
      <c r="I57" s="6" t="str">
        <f t="shared" si="32"/>
        <v/>
      </c>
      <c r="J57" s="4"/>
      <c r="K57" s="4"/>
      <c r="L57" s="5">
        <f t="shared" si="33"/>
        <v>0</v>
      </c>
      <c r="M57" s="6" t="str">
        <f t="shared" si="34"/>
        <v/>
      </c>
      <c r="N57" s="4"/>
      <c r="O57" s="4"/>
      <c r="P57" s="5">
        <f t="shared" si="35"/>
        <v>0</v>
      </c>
      <c r="Q57" s="6" t="str">
        <f t="shared" si="36"/>
        <v/>
      </c>
      <c r="R57" s="4"/>
      <c r="S57" s="4"/>
      <c r="T57" s="5">
        <f t="shared" si="37"/>
        <v>0</v>
      </c>
      <c r="U57" s="6" t="str">
        <f t="shared" si="38"/>
        <v/>
      </c>
      <c r="V57" s="4"/>
      <c r="W57" s="4"/>
      <c r="X57" s="5">
        <f t="shared" si="39"/>
        <v>0</v>
      </c>
      <c r="Y57" s="6" t="str">
        <f t="shared" si="40"/>
        <v/>
      </c>
      <c r="Z57" s="4"/>
      <c r="AA57" s="4"/>
      <c r="AB57" s="5">
        <f t="shared" si="41"/>
        <v>0</v>
      </c>
      <c r="AC57" s="6" t="str">
        <f t="shared" si="42"/>
        <v/>
      </c>
      <c r="AD57" s="4"/>
      <c r="AE57" s="4"/>
      <c r="AF57" s="5">
        <f t="shared" si="43"/>
        <v>0</v>
      </c>
      <c r="AG57" s="6" t="str">
        <f t="shared" si="44"/>
        <v/>
      </c>
      <c r="AH57" s="4"/>
      <c r="AI57" s="4"/>
      <c r="AJ57" s="5">
        <f t="shared" si="45"/>
        <v>0</v>
      </c>
      <c r="AK57" s="6" t="str">
        <f t="shared" si="46"/>
        <v/>
      </c>
      <c r="AL57" s="4"/>
      <c r="AM57" s="4"/>
      <c r="AN57" s="5">
        <f t="shared" si="47"/>
        <v>0</v>
      </c>
      <c r="AO57" s="6" t="str">
        <f t="shared" si="48"/>
        <v/>
      </c>
      <c r="AP57" s="4"/>
      <c r="AQ57" s="4"/>
      <c r="AR57" s="5">
        <f t="shared" si="49"/>
        <v>0</v>
      </c>
      <c r="AS57" s="6" t="str">
        <f t="shared" si="50"/>
        <v/>
      </c>
      <c r="AT57" s="5">
        <f>0</f>
        <v>0</v>
      </c>
      <c r="AU57" s="4"/>
      <c r="AV57" s="5">
        <f t="shared" si="51"/>
        <v>0</v>
      </c>
      <c r="AW57" s="6" t="str">
        <f t="shared" si="52"/>
        <v/>
      </c>
      <c r="AX57" s="5">
        <f t="shared" si="53"/>
        <v>0</v>
      </c>
      <c r="AY57" s="5">
        <f t="shared" si="54"/>
        <v>0</v>
      </c>
      <c r="AZ57" s="5">
        <f t="shared" si="55"/>
        <v>0</v>
      </c>
      <c r="BA57" s="6" t="str">
        <f t="shared" si="56"/>
        <v/>
      </c>
    </row>
    <row r="58" spans="1:53" x14ac:dyDescent="0.25">
      <c r="A58" s="3" t="s">
        <v>71</v>
      </c>
      <c r="B58" s="7">
        <f>(((B54)+(B55))+(B56))+(B57)</f>
        <v>0</v>
      </c>
      <c r="C58" s="7">
        <f>(((C54)+(C55))+(C56))+(C57)</f>
        <v>0</v>
      </c>
      <c r="D58" s="7">
        <f t="shared" si="29"/>
        <v>0</v>
      </c>
      <c r="E58" s="8" t="str">
        <f t="shared" si="30"/>
        <v/>
      </c>
      <c r="F58" s="7">
        <f>(((F54)+(F55))+(F56))+(F57)</f>
        <v>0</v>
      </c>
      <c r="G58" s="7">
        <f>(((G54)+(G55))+(G56))+(G57)</f>
        <v>0</v>
      </c>
      <c r="H58" s="7">
        <f t="shared" si="31"/>
        <v>0</v>
      </c>
      <c r="I58" s="8" t="str">
        <f t="shared" si="32"/>
        <v/>
      </c>
      <c r="J58" s="7">
        <f>(((J54)+(J55))+(J56))+(J57)</f>
        <v>0</v>
      </c>
      <c r="K58" s="7">
        <f>(((K54)+(K55))+(K56))+(K57)</f>
        <v>0</v>
      </c>
      <c r="L58" s="7">
        <f t="shared" si="33"/>
        <v>0</v>
      </c>
      <c r="M58" s="8" t="str">
        <f t="shared" si="34"/>
        <v/>
      </c>
      <c r="N58" s="7">
        <f>(((N54)+(N55))+(N56))+(N57)</f>
        <v>0</v>
      </c>
      <c r="O58" s="7">
        <f>(((O54)+(O55))+(O56))+(O57)</f>
        <v>0</v>
      </c>
      <c r="P58" s="7">
        <f t="shared" si="35"/>
        <v>0</v>
      </c>
      <c r="Q58" s="8" t="str">
        <f t="shared" si="36"/>
        <v/>
      </c>
      <c r="R58" s="7">
        <f>(((R54)+(R55))+(R56))+(R57)</f>
        <v>0</v>
      </c>
      <c r="S58" s="7">
        <f>(((S54)+(S55))+(S56))+(S57)</f>
        <v>0</v>
      </c>
      <c r="T58" s="7">
        <f t="shared" si="37"/>
        <v>0</v>
      </c>
      <c r="U58" s="8" t="str">
        <f t="shared" si="38"/>
        <v/>
      </c>
      <c r="V58" s="7">
        <f>(((V54)+(V55))+(V56))+(V57)</f>
        <v>0</v>
      </c>
      <c r="W58" s="7">
        <f>(((W54)+(W55))+(W56))+(W57)</f>
        <v>0</v>
      </c>
      <c r="X58" s="7">
        <f t="shared" si="39"/>
        <v>0</v>
      </c>
      <c r="Y58" s="8" t="str">
        <f t="shared" si="40"/>
        <v/>
      </c>
      <c r="Z58" s="7">
        <f>(((Z54)+(Z55))+(Z56))+(Z57)</f>
        <v>0</v>
      </c>
      <c r="AA58" s="7">
        <f>(((AA54)+(AA55))+(AA56))+(AA57)</f>
        <v>0</v>
      </c>
      <c r="AB58" s="7">
        <f t="shared" si="41"/>
        <v>0</v>
      </c>
      <c r="AC58" s="8" t="str">
        <f t="shared" si="42"/>
        <v/>
      </c>
      <c r="AD58" s="7">
        <f>(((AD54)+(AD55))+(AD56))+(AD57)</f>
        <v>0</v>
      </c>
      <c r="AE58" s="7">
        <f>(((AE54)+(AE55))+(AE56))+(AE57)</f>
        <v>0</v>
      </c>
      <c r="AF58" s="7">
        <f t="shared" si="43"/>
        <v>0</v>
      </c>
      <c r="AG58" s="8" t="str">
        <f t="shared" si="44"/>
        <v/>
      </c>
      <c r="AH58" s="7">
        <f>(((AH54)+(AH55))+(AH56))+(AH57)</f>
        <v>0</v>
      </c>
      <c r="AI58" s="7">
        <f>(((AI54)+(AI55))+(AI56))+(AI57)</f>
        <v>0</v>
      </c>
      <c r="AJ58" s="7">
        <f t="shared" si="45"/>
        <v>0</v>
      </c>
      <c r="AK58" s="8" t="str">
        <f t="shared" si="46"/>
        <v/>
      </c>
      <c r="AL58" s="7">
        <f>(((AL54)+(AL55))+(AL56))+(AL57)</f>
        <v>0</v>
      </c>
      <c r="AM58" s="7">
        <f>(((AM54)+(AM55))+(AM56))+(AM57)</f>
        <v>0</v>
      </c>
      <c r="AN58" s="7">
        <f t="shared" si="47"/>
        <v>0</v>
      </c>
      <c r="AO58" s="8" t="str">
        <f t="shared" si="48"/>
        <v/>
      </c>
      <c r="AP58" s="7">
        <f>(((AP54)+(AP55))+(AP56))+(AP57)</f>
        <v>0</v>
      </c>
      <c r="AQ58" s="7">
        <f>(((AQ54)+(AQ55))+(AQ56))+(AQ57)</f>
        <v>0</v>
      </c>
      <c r="AR58" s="7">
        <f t="shared" si="49"/>
        <v>0</v>
      </c>
      <c r="AS58" s="8" t="str">
        <f t="shared" si="50"/>
        <v/>
      </c>
      <c r="AT58" s="7">
        <f>(((AT54)+(AT55))+(AT56))+(AT57)</f>
        <v>4546.37</v>
      </c>
      <c r="AU58" s="7">
        <f>(((AU54)+(AU55))+(AU56))+(AU57)</f>
        <v>0</v>
      </c>
      <c r="AV58" s="7">
        <f t="shared" si="51"/>
        <v>4546.37</v>
      </c>
      <c r="AW58" s="8" t="str">
        <f t="shared" si="52"/>
        <v/>
      </c>
      <c r="AX58" s="7">
        <f t="shared" si="53"/>
        <v>4546.37</v>
      </c>
      <c r="AY58" s="7">
        <f t="shared" si="54"/>
        <v>0</v>
      </c>
      <c r="AZ58" s="7">
        <f t="shared" si="55"/>
        <v>4546.37</v>
      </c>
      <c r="BA58" s="8" t="str">
        <f t="shared" si="56"/>
        <v/>
      </c>
    </row>
    <row r="59" spans="1:53" x14ac:dyDescent="0.25">
      <c r="A59" s="3" t="s">
        <v>72</v>
      </c>
      <c r="B59" s="4"/>
      <c r="C59" s="5">
        <f>355</f>
        <v>355</v>
      </c>
      <c r="D59" s="5">
        <f t="shared" si="29"/>
        <v>-355</v>
      </c>
      <c r="E59" s="6">
        <f t="shared" si="30"/>
        <v>0</v>
      </c>
      <c r="F59" s="4"/>
      <c r="G59" s="5">
        <f>355</f>
        <v>355</v>
      </c>
      <c r="H59" s="5">
        <f t="shared" si="31"/>
        <v>-355</v>
      </c>
      <c r="I59" s="6">
        <f t="shared" si="32"/>
        <v>0</v>
      </c>
      <c r="J59" s="4"/>
      <c r="K59" s="5">
        <f>355</f>
        <v>355</v>
      </c>
      <c r="L59" s="5">
        <f t="shared" si="33"/>
        <v>-355</v>
      </c>
      <c r="M59" s="6">
        <f t="shared" si="34"/>
        <v>0</v>
      </c>
      <c r="N59" s="4"/>
      <c r="O59" s="5">
        <f>355</f>
        <v>355</v>
      </c>
      <c r="P59" s="5">
        <f t="shared" si="35"/>
        <v>-355</v>
      </c>
      <c r="Q59" s="6">
        <f t="shared" si="36"/>
        <v>0</v>
      </c>
      <c r="R59" s="4"/>
      <c r="S59" s="5">
        <f>355</f>
        <v>355</v>
      </c>
      <c r="T59" s="5">
        <f t="shared" si="37"/>
        <v>-355</v>
      </c>
      <c r="U59" s="6">
        <f t="shared" si="38"/>
        <v>0</v>
      </c>
      <c r="V59" s="4"/>
      <c r="W59" s="5">
        <f>355</f>
        <v>355</v>
      </c>
      <c r="X59" s="5">
        <f t="shared" si="39"/>
        <v>-355</v>
      </c>
      <c r="Y59" s="6">
        <f t="shared" si="40"/>
        <v>0</v>
      </c>
      <c r="Z59" s="4"/>
      <c r="AA59" s="5">
        <f>355</f>
        <v>355</v>
      </c>
      <c r="AB59" s="5">
        <f t="shared" si="41"/>
        <v>-355</v>
      </c>
      <c r="AC59" s="6">
        <f t="shared" si="42"/>
        <v>0</v>
      </c>
      <c r="AD59" s="4"/>
      <c r="AE59" s="5">
        <f>355</f>
        <v>355</v>
      </c>
      <c r="AF59" s="5">
        <f t="shared" si="43"/>
        <v>-355</v>
      </c>
      <c r="AG59" s="6">
        <f t="shared" si="44"/>
        <v>0</v>
      </c>
      <c r="AH59" s="4"/>
      <c r="AI59" s="5">
        <f>355</f>
        <v>355</v>
      </c>
      <c r="AJ59" s="5">
        <f t="shared" si="45"/>
        <v>-355</v>
      </c>
      <c r="AK59" s="6">
        <f t="shared" si="46"/>
        <v>0</v>
      </c>
      <c r="AL59" s="4"/>
      <c r="AM59" s="5">
        <f>355</f>
        <v>355</v>
      </c>
      <c r="AN59" s="5">
        <f t="shared" si="47"/>
        <v>-355</v>
      </c>
      <c r="AO59" s="6">
        <f t="shared" si="48"/>
        <v>0</v>
      </c>
      <c r="AP59" s="4"/>
      <c r="AQ59" s="5">
        <f>355</f>
        <v>355</v>
      </c>
      <c r="AR59" s="5">
        <f t="shared" si="49"/>
        <v>-355</v>
      </c>
      <c r="AS59" s="6">
        <f t="shared" si="50"/>
        <v>0</v>
      </c>
      <c r="AT59" s="4"/>
      <c r="AU59" s="5">
        <f>355</f>
        <v>355</v>
      </c>
      <c r="AV59" s="5">
        <f t="shared" si="51"/>
        <v>-355</v>
      </c>
      <c r="AW59" s="6">
        <f t="shared" si="52"/>
        <v>0</v>
      </c>
      <c r="AX59" s="5">
        <f t="shared" si="53"/>
        <v>0</v>
      </c>
      <c r="AY59" s="5">
        <f t="shared" si="54"/>
        <v>4260</v>
      </c>
      <c r="AZ59" s="5">
        <f t="shared" si="55"/>
        <v>-4260</v>
      </c>
      <c r="BA59" s="6">
        <f t="shared" si="56"/>
        <v>0</v>
      </c>
    </row>
    <row r="60" spans="1:53" x14ac:dyDescent="0.25">
      <c r="A60" s="3" t="s">
        <v>73</v>
      </c>
      <c r="B60" s="5">
        <f>76.28</f>
        <v>76.28</v>
      </c>
      <c r="C60" s="4"/>
      <c r="D60" s="5">
        <f t="shared" si="29"/>
        <v>76.28</v>
      </c>
      <c r="E60" s="6" t="str">
        <f t="shared" si="30"/>
        <v/>
      </c>
      <c r="F60" s="5">
        <f>76.28</f>
        <v>76.28</v>
      </c>
      <c r="G60" s="4"/>
      <c r="H60" s="5">
        <f t="shared" si="31"/>
        <v>76.28</v>
      </c>
      <c r="I60" s="6" t="str">
        <f t="shared" si="32"/>
        <v/>
      </c>
      <c r="J60" s="5">
        <f>76.28</f>
        <v>76.28</v>
      </c>
      <c r="K60" s="4"/>
      <c r="L60" s="5">
        <f t="shared" si="33"/>
        <v>76.28</v>
      </c>
      <c r="M60" s="6" t="str">
        <f t="shared" si="34"/>
        <v/>
      </c>
      <c r="N60" s="5">
        <f>114.43</f>
        <v>114.43</v>
      </c>
      <c r="O60" s="4"/>
      <c r="P60" s="5">
        <f t="shared" si="35"/>
        <v>114.43</v>
      </c>
      <c r="Q60" s="6" t="str">
        <f t="shared" si="36"/>
        <v/>
      </c>
      <c r="R60" s="5">
        <f>76.28</f>
        <v>76.28</v>
      </c>
      <c r="S60" s="4"/>
      <c r="T60" s="5">
        <f t="shared" si="37"/>
        <v>76.28</v>
      </c>
      <c r="U60" s="6" t="str">
        <f t="shared" si="38"/>
        <v/>
      </c>
      <c r="V60" s="5">
        <f>76.28</f>
        <v>76.28</v>
      </c>
      <c r="W60" s="4"/>
      <c r="X60" s="5">
        <f t="shared" si="39"/>
        <v>76.28</v>
      </c>
      <c r="Y60" s="6" t="str">
        <f t="shared" si="40"/>
        <v/>
      </c>
      <c r="Z60" s="5">
        <f>76.28</f>
        <v>76.28</v>
      </c>
      <c r="AA60" s="4"/>
      <c r="AB60" s="5">
        <f t="shared" si="41"/>
        <v>76.28</v>
      </c>
      <c r="AC60" s="6" t="str">
        <f t="shared" si="42"/>
        <v/>
      </c>
      <c r="AD60" s="5">
        <f>76.28</f>
        <v>76.28</v>
      </c>
      <c r="AE60" s="4"/>
      <c r="AF60" s="5">
        <f t="shared" si="43"/>
        <v>76.28</v>
      </c>
      <c r="AG60" s="6" t="str">
        <f t="shared" si="44"/>
        <v/>
      </c>
      <c r="AH60" s="5">
        <f>76.28</f>
        <v>76.28</v>
      </c>
      <c r="AI60" s="4"/>
      <c r="AJ60" s="5">
        <f t="shared" si="45"/>
        <v>76.28</v>
      </c>
      <c r="AK60" s="6" t="str">
        <f t="shared" si="46"/>
        <v/>
      </c>
      <c r="AL60" s="5">
        <f>114.43</f>
        <v>114.43</v>
      </c>
      <c r="AM60" s="4"/>
      <c r="AN60" s="5">
        <f t="shared" si="47"/>
        <v>114.43</v>
      </c>
      <c r="AO60" s="6" t="str">
        <f t="shared" si="48"/>
        <v/>
      </c>
      <c r="AP60" s="5">
        <f>76.28</f>
        <v>76.28</v>
      </c>
      <c r="AQ60" s="4"/>
      <c r="AR60" s="5">
        <f t="shared" si="49"/>
        <v>76.28</v>
      </c>
      <c r="AS60" s="6" t="str">
        <f t="shared" si="50"/>
        <v/>
      </c>
      <c r="AT60" s="5">
        <f>76.28</f>
        <v>76.28</v>
      </c>
      <c r="AU60" s="4"/>
      <c r="AV60" s="5">
        <f t="shared" si="51"/>
        <v>76.28</v>
      </c>
      <c r="AW60" s="6" t="str">
        <f t="shared" si="52"/>
        <v/>
      </c>
      <c r="AX60" s="5">
        <f t="shared" si="53"/>
        <v>991.65999999999985</v>
      </c>
      <c r="AY60" s="5">
        <f t="shared" si="54"/>
        <v>0</v>
      </c>
      <c r="AZ60" s="5">
        <f t="shared" si="55"/>
        <v>991.65999999999985</v>
      </c>
      <c r="BA60" s="6" t="str">
        <f t="shared" si="56"/>
        <v/>
      </c>
    </row>
    <row r="61" spans="1:53" x14ac:dyDescent="0.25">
      <c r="A61" s="3" t="s">
        <v>74</v>
      </c>
      <c r="B61" s="5">
        <f>41.08</f>
        <v>41.08</v>
      </c>
      <c r="C61" s="4"/>
      <c r="D61" s="5">
        <f t="shared" si="29"/>
        <v>41.08</v>
      </c>
      <c r="E61" s="6" t="str">
        <f t="shared" si="30"/>
        <v/>
      </c>
      <c r="F61" s="5">
        <f>41.08</f>
        <v>41.08</v>
      </c>
      <c r="G61" s="4"/>
      <c r="H61" s="5">
        <f t="shared" si="31"/>
        <v>41.08</v>
      </c>
      <c r="I61" s="6" t="str">
        <f t="shared" si="32"/>
        <v/>
      </c>
      <c r="J61" s="5">
        <f>41.08</f>
        <v>41.08</v>
      </c>
      <c r="K61" s="4"/>
      <c r="L61" s="5">
        <f t="shared" si="33"/>
        <v>41.08</v>
      </c>
      <c r="M61" s="6" t="str">
        <f t="shared" si="34"/>
        <v/>
      </c>
      <c r="N61" s="5">
        <f>61.61</f>
        <v>61.61</v>
      </c>
      <c r="O61" s="4"/>
      <c r="P61" s="5">
        <f t="shared" si="35"/>
        <v>61.61</v>
      </c>
      <c r="Q61" s="6" t="str">
        <f t="shared" si="36"/>
        <v/>
      </c>
      <c r="R61" s="5">
        <f>41.08</f>
        <v>41.08</v>
      </c>
      <c r="S61" s="4"/>
      <c r="T61" s="5">
        <f t="shared" si="37"/>
        <v>41.08</v>
      </c>
      <c r="U61" s="6" t="str">
        <f t="shared" si="38"/>
        <v/>
      </c>
      <c r="V61" s="5">
        <f>41.08</f>
        <v>41.08</v>
      </c>
      <c r="W61" s="4"/>
      <c r="X61" s="5">
        <f t="shared" si="39"/>
        <v>41.08</v>
      </c>
      <c r="Y61" s="6" t="str">
        <f t="shared" si="40"/>
        <v/>
      </c>
      <c r="Z61" s="5">
        <f>41.08</f>
        <v>41.08</v>
      </c>
      <c r="AA61" s="4"/>
      <c r="AB61" s="5">
        <f t="shared" si="41"/>
        <v>41.08</v>
      </c>
      <c r="AC61" s="6" t="str">
        <f t="shared" si="42"/>
        <v/>
      </c>
      <c r="AD61" s="5">
        <f>41.08</f>
        <v>41.08</v>
      </c>
      <c r="AE61" s="4"/>
      <c r="AF61" s="5">
        <f t="shared" si="43"/>
        <v>41.08</v>
      </c>
      <c r="AG61" s="6" t="str">
        <f t="shared" si="44"/>
        <v/>
      </c>
      <c r="AH61" s="5">
        <f>41.08</f>
        <v>41.08</v>
      </c>
      <c r="AI61" s="4"/>
      <c r="AJ61" s="5">
        <f t="shared" si="45"/>
        <v>41.08</v>
      </c>
      <c r="AK61" s="6" t="str">
        <f t="shared" si="46"/>
        <v/>
      </c>
      <c r="AL61" s="5">
        <f>61.61</f>
        <v>61.61</v>
      </c>
      <c r="AM61" s="4"/>
      <c r="AN61" s="5">
        <f t="shared" si="47"/>
        <v>61.61</v>
      </c>
      <c r="AO61" s="6" t="str">
        <f t="shared" si="48"/>
        <v/>
      </c>
      <c r="AP61" s="5">
        <f>41.08</f>
        <v>41.08</v>
      </c>
      <c r="AQ61" s="4"/>
      <c r="AR61" s="5">
        <f t="shared" si="49"/>
        <v>41.08</v>
      </c>
      <c r="AS61" s="6" t="str">
        <f t="shared" si="50"/>
        <v/>
      </c>
      <c r="AT61" s="5">
        <f>41.08</f>
        <v>41.08</v>
      </c>
      <c r="AU61" s="4"/>
      <c r="AV61" s="5">
        <f t="shared" si="51"/>
        <v>41.08</v>
      </c>
      <c r="AW61" s="6" t="str">
        <f t="shared" si="52"/>
        <v/>
      </c>
      <c r="AX61" s="5">
        <f t="shared" si="53"/>
        <v>534.02</v>
      </c>
      <c r="AY61" s="5">
        <f t="shared" si="54"/>
        <v>0</v>
      </c>
      <c r="AZ61" s="5">
        <f t="shared" si="55"/>
        <v>534.02</v>
      </c>
      <c r="BA61" s="6" t="str">
        <f t="shared" si="56"/>
        <v/>
      </c>
    </row>
    <row r="62" spans="1:53" x14ac:dyDescent="0.25">
      <c r="A62" s="3" t="s">
        <v>75</v>
      </c>
      <c r="B62" s="5">
        <f>0</f>
        <v>0</v>
      </c>
      <c r="C62" s="4"/>
      <c r="D62" s="5">
        <f t="shared" si="29"/>
        <v>0</v>
      </c>
      <c r="E62" s="6" t="str">
        <f t="shared" si="30"/>
        <v/>
      </c>
      <c r="F62" s="5">
        <f>0</f>
        <v>0</v>
      </c>
      <c r="G62" s="4"/>
      <c r="H62" s="5">
        <f t="shared" si="31"/>
        <v>0</v>
      </c>
      <c r="I62" s="6" t="str">
        <f t="shared" si="32"/>
        <v/>
      </c>
      <c r="J62" s="5">
        <f>0</f>
        <v>0</v>
      </c>
      <c r="K62" s="4"/>
      <c r="L62" s="5">
        <f t="shared" si="33"/>
        <v>0</v>
      </c>
      <c r="M62" s="6" t="str">
        <f t="shared" si="34"/>
        <v/>
      </c>
      <c r="N62" s="5">
        <f>0</f>
        <v>0</v>
      </c>
      <c r="O62" s="4"/>
      <c r="P62" s="5">
        <f t="shared" si="35"/>
        <v>0</v>
      </c>
      <c r="Q62" s="6" t="str">
        <f t="shared" si="36"/>
        <v/>
      </c>
      <c r="R62" s="5">
        <f>0</f>
        <v>0</v>
      </c>
      <c r="S62" s="4"/>
      <c r="T62" s="5">
        <f t="shared" si="37"/>
        <v>0</v>
      </c>
      <c r="U62" s="6" t="str">
        <f t="shared" si="38"/>
        <v/>
      </c>
      <c r="V62" s="5">
        <f>0</f>
        <v>0</v>
      </c>
      <c r="W62" s="4"/>
      <c r="X62" s="5">
        <f t="shared" si="39"/>
        <v>0</v>
      </c>
      <c r="Y62" s="6" t="str">
        <f t="shared" si="40"/>
        <v/>
      </c>
      <c r="Z62" s="5">
        <f>0</f>
        <v>0</v>
      </c>
      <c r="AA62" s="4"/>
      <c r="AB62" s="5">
        <f t="shared" si="41"/>
        <v>0</v>
      </c>
      <c r="AC62" s="6" t="str">
        <f t="shared" si="42"/>
        <v/>
      </c>
      <c r="AD62" s="5">
        <f>0</f>
        <v>0</v>
      </c>
      <c r="AE62" s="4"/>
      <c r="AF62" s="5">
        <f t="shared" si="43"/>
        <v>0</v>
      </c>
      <c r="AG62" s="6" t="str">
        <f t="shared" si="44"/>
        <v/>
      </c>
      <c r="AH62" s="5">
        <f>0</f>
        <v>0</v>
      </c>
      <c r="AI62" s="4"/>
      <c r="AJ62" s="5">
        <f t="shared" si="45"/>
        <v>0</v>
      </c>
      <c r="AK62" s="6" t="str">
        <f t="shared" si="46"/>
        <v/>
      </c>
      <c r="AL62" s="5">
        <f>0</f>
        <v>0</v>
      </c>
      <c r="AM62" s="4"/>
      <c r="AN62" s="5">
        <f t="shared" si="47"/>
        <v>0</v>
      </c>
      <c r="AO62" s="6" t="str">
        <f t="shared" si="48"/>
        <v/>
      </c>
      <c r="AP62" s="5">
        <f>0</f>
        <v>0</v>
      </c>
      <c r="AQ62" s="4"/>
      <c r="AR62" s="5">
        <f t="shared" si="49"/>
        <v>0</v>
      </c>
      <c r="AS62" s="6" t="str">
        <f t="shared" si="50"/>
        <v/>
      </c>
      <c r="AT62" s="5">
        <f>0</f>
        <v>0</v>
      </c>
      <c r="AU62" s="4"/>
      <c r="AV62" s="5">
        <f t="shared" si="51"/>
        <v>0</v>
      </c>
      <c r="AW62" s="6" t="str">
        <f t="shared" si="52"/>
        <v/>
      </c>
      <c r="AX62" s="5">
        <f t="shared" si="53"/>
        <v>0</v>
      </c>
      <c r="AY62" s="5">
        <f t="shared" si="54"/>
        <v>0</v>
      </c>
      <c r="AZ62" s="5">
        <f t="shared" si="55"/>
        <v>0</v>
      </c>
      <c r="BA62" s="6" t="str">
        <f t="shared" si="56"/>
        <v/>
      </c>
    </row>
    <row r="63" spans="1:53" x14ac:dyDescent="0.25">
      <c r="A63" s="3" t="s">
        <v>76</v>
      </c>
      <c r="B63" s="7">
        <f>(((B59)+(B60))+(B61))+(B62)</f>
        <v>117.36</v>
      </c>
      <c r="C63" s="7">
        <f>(((C59)+(C60))+(C61))+(C62)</f>
        <v>355</v>
      </c>
      <c r="D63" s="7">
        <f t="shared" si="29"/>
        <v>-237.64</v>
      </c>
      <c r="E63" s="8">
        <f t="shared" si="30"/>
        <v>0.33059154929577467</v>
      </c>
      <c r="F63" s="7">
        <f>(((F59)+(F60))+(F61))+(F62)</f>
        <v>117.36</v>
      </c>
      <c r="G63" s="7">
        <f>(((G59)+(G60))+(G61))+(G62)</f>
        <v>355</v>
      </c>
      <c r="H63" s="7">
        <f t="shared" si="31"/>
        <v>-237.64</v>
      </c>
      <c r="I63" s="8">
        <f t="shared" si="32"/>
        <v>0.33059154929577467</v>
      </c>
      <c r="J63" s="7">
        <f>(((J59)+(J60))+(J61))+(J62)</f>
        <v>117.36</v>
      </c>
      <c r="K63" s="7">
        <f>(((K59)+(K60))+(K61))+(K62)</f>
        <v>355</v>
      </c>
      <c r="L63" s="7">
        <f t="shared" si="33"/>
        <v>-237.64</v>
      </c>
      <c r="M63" s="8">
        <f t="shared" si="34"/>
        <v>0.33059154929577467</v>
      </c>
      <c r="N63" s="7">
        <f>(((N59)+(N60))+(N61))+(N62)</f>
        <v>176.04000000000002</v>
      </c>
      <c r="O63" s="7">
        <f>(((O59)+(O60))+(O61))+(O62)</f>
        <v>355</v>
      </c>
      <c r="P63" s="7">
        <f t="shared" si="35"/>
        <v>-178.95999999999998</v>
      </c>
      <c r="Q63" s="8">
        <f t="shared" si="36"/>
        <v>0.49588732394366203</v>
      </c>
      <c r="R63" s="7">
        <f>(((R59)+(R60))+(R61))+(R62)</f>
        <v>117.36</v>
      </c>
      <c r="S63" s="7">
        <f>(((S59)+(S60))+(S61))+(S62)</f>
        <v>355</v>
      </c>
      <c r="T63" s="7">
        <f t="shared" si="37"/>
        <v>-237.64</v>
      </c>
      <c r="U63" s="8">
        <f t="shared" si="38"/>
        <v>0.33059154929577467</v>
      </c>
      <c r="V63" s="7">
        <f>(((V59)+(V60))+(V61))+(V62)</f>
        <v>117.36</v>
      </c>
      <c r="W63" s="7">
        <f>(((W59)+(W60))+(W61))+(W62)</f>
        <v>355</v>
      </c>
      <c r="X63" s="7">
        <f t="shared" si="39"/>
        <v>-237.64</v>
      </c>
      <c r="Y63" s="8">
        <f t="shared" si="40"/>
        <v>0.33059154929577467</v>
      </c>
      <c r="Z63" s="7">
        <f>(((Z59)+(Z60))+(Z61))+(Z62)</f>
        <v>117.36</v>
      </c>
      <c r="AA63" s="7">
        <f>(((AA59)+(AA60))+(AA61))+(AA62)</f>
        <v>355</v>
      </c>
      <c r="AB63" s="7">
        <f t="shared" si="41"/>
        <v>-237.64</v>
      </c>
      <c r="AC63" s="8">
        <f t="shared" si="42"/>
        <v>0.33059154929577467</v>
      </c>
      <c r="AD63" s="7">
        <f>(((AD59)+(AD60))+(AD61))+(AD62)</f>
        <v>117.36</v>
      </c>
      <c r="AE63" s="7">
        <f>(((AE59)+(AE60))+(AE61))+(AE62)</f>
        <v>355</v>
      </c>
      <c r="AF63" s="7">
        <f t="shared" si="43"/>
        <v>-237.64</v>
      </c>
      <c r="AG63" s="8">
        <f t="shared" si="44"/>
        <v>0.33059154929577467</v>
      </c>
      <c r="AH63" s="7">
        <f>(((AH59)+(AH60))+(AH61))+(AH62)</f>
        <v>117.36</v>
      </c>
      <c r="AI63" s="7">
        <f>(((AI59)+(AI60))+(AI61))+(AI62)</f>
        <v>355</v>
      </c>
      <c r="AJ63" s="7">
        <f t="shared" si="45"/>
        <v>-237.64</v>
      </c>
      <c r="AK63" s="8">
        <f t="shared" si="46"/>
        <v>0.33059154929577467</v>
      </c>
      <c r="AL63" s="7">
        <f>(((AL59)+(AL60))+(AL61))+(AL62)</f>
        <v>176.04000000000002</v>
      </c>
      <c r="AM63" s="7">
        <f>(((AM59)+(AM60))+(AM61))+(AM62)</f>
        <v>355</v>
      </c>
      <c r="AN63" s="7">
        <f t="shared" si="47"/>
        <v>-178.95999999999998</v>
      </c>
      <c r="AO63" s="8">
        <f t="shared" si="48"/>
        <v>0.49588732394366203</v>
      </c>
      <c r="AP63" s="7">
        <f>(((AP59)+(AP60))+(AP61))+(AP62)</f>
        <v>117.36</v>
      </c>
      <c r="AQ63" s="7">
        <f>(((AQ59)+(AQ60))+(AQ61))+(AQ62)</f>
        <v>355</v>
      </c>
      <c r="AR63" s="7">
        <f t="shared" si="49"/>
        <v>-237.64</v>
      </c>
      <c r="AS63" s="8">
        <f t="shared" si="50"/>
        <v>0.33059154929577467</v>
      </c>
      <c r="AT63" s="7">
        <f>(((AT59)+(AT60))+(AT61))+(AT62)</f>
        <v>117.36</v>
      </c>
      <c r="AU63" s="7">
        <f>(((AU59)+(AU60))+(AU61))+(AU62)</f>
        <v>355</v>
      </c>
      <c r="AV63" s="7">
        <f t="shared" si="51"/>
        <v>-237.64</v>
      </c>
      <c r="AW63" s="8">
        <f t="shared" si="52"/>
        <v>0.33059154929577467</v>
      </c>
      <c r="AX63" s="7">
        <f t="shared" si="53"/>
        <v>1525.6799999999998</v>
      </c>
      <c r="AY63" s="7">
        <f t="shared" si="54"/>
        <v>4260</v>
      </c>
      <c r="AZ63" s="7">
        <f t="shared" si="55"/>
        <v>-2734.32</v>
      </c>
      <c r="BA63" s="8">
        <f t="shared" si="56"/>
        <v>0.35814084507042249</v>
      </c>
    </row>
    <row r="64" spans="1:53" x14ac:dyDescent="0.25">
      <c r="A64" s="3" t="s">
        <v>77</v>
      </c>
      <c r="B64" s="4"/>
      <c r="C64" s="5">
        <f>750</f>
        <v>750</v>
      </c>
      <c r="D64" s="5">
        <f t="shared" si="29"/>
        <v>-750</v>
      </c>
      <c r="E64" s="6">
        <f t="shared" si="30"/>
        <v>0</v>
      </c>
      <c r="F64" s="4"/>
      <c r="G64" s="5">
        <f>750</f>
        <v>750</v>
      </c>
      <c r="H64" s="5">
        <f t="shared" si="31"/>
        <v>-750</v>
      </c>
      <c r="I64" s="6">
        <f t="shared" si="32"/>
        <v>0</v>
      </c>
      <c r="J64" s="4"/>
      <c r="K64" s="5">
        <f>750</f>
        <v>750</v>
      </c>
      <c r="L64" s="5">
        <f t="shared" si="33"/>
        <v>-750</v>
      </c>
      <c r="M64" s="6">
        <f t="shared" si="34"/>
        <v>0</v>
      </c>
      <c r="N64" s="4"/>
      <c r="O64" s="5">
        <f>750</f>
        <v>750</v>
      </c>
      <c r="P64" s="5">
        <f t="shared" si="35"/>
        <v>-750</v>
      </c>
      <c r="Q64" s="6">
        <f t="shared" si="36"/>
        <v>0</v>
      </c>
      <c r="R64" s="4"/>
      <c r="S64" s="5">
        <f>750</f>
        <v>750</v>
      </c>
      <c r="T64" s="5">
        <f t="shared" si="37"/>
        <v>-750</v>
      </c>
      <c r="U64" s="6">
        <f t="shared" si="38"/>
        <v>0</v>
      </c>
      <c r="V64" s="4"/>
      <c r="W64" s="5">
        <f>750</f>
        <v>750</v>
      </c>
      <c r="X64" s="5">
        <f t="shared" si="39"/>
        <v>-750</v>
      </c>
      <c r="Y64" s="6">
        <f t="shared" si="40"/>
        <v>0</v>
      </c>
      <c r="Z64" s="4"/>
      <c r="AA64" s="5">
        <f>750</f>
        <v>750</v>
      </c>
      <c r="AB64" s="5">
        <f t="shared" si="41"/>
        <v>-750</v>
      </c>
      <c r="AC64" s="6">
        <f t="shared" si="42"/>
        <v>0</v>
      </c>
      <c r="AD64" s="4"/>
      <c r="AE64" s="5">
        <f>750</f>
        <v>750</v>
      </c>
      <c r="AF64" s="5">
        <f t="shared" si="43"/>
        <v>-750</v>
      </c>
      <c r="AG64" s="6">
        <f t="shared" si="44"/>
        <v>0</v>
      </c>
      <c r="AH64" s="4"/>
      <c r="AI64" s="5">
        <f>750</f>
        <v>750</v>
      </c>
      <c r="AJ64" s="5">
        <f t="shared" si="45"/>
        <v>-750</v>
      </c>
      <c r="AK64" s="6">
        <f t="shared" si="46"/>
        <v>0</v>
      </c>
      <c r="AL64" s="4"/>
      <c r="AM64" s="5">
        <f>750</f>
        <v>750</v>
      </c>
      <c r="AN64" s="5">
        <f t="shared" si="47"/>
        <v>-750</v>
      </c>
      <c r="AO64" s="6">
        <f t="shared" si="48"/>
        <v>0</v>
      </c>
      <c r="AP64" s="4"/>
      <c r="AQ64" s="5">
        <f>750</f>
        <v>750</v>
      </c>
      <c r="AR64" s="5">
        <f t="shared" si="49"/>
        <v>-750</v>
      </c>
      <c r="AS64" s="6">
        <f t="shared" si="50"/>
        <v>0</v>
      </c>
      <c r="AT64" s="4"/>
      <c r="AU64" s="5">
        <f>750</f>
        <v>750</v>
      </c>
      <c r="AV64" s="5">
        <f t="shared" si="51"/>
        <v>-750</v>
      </c>
      <c r="AW64" s="6">
        <f t="shared" si="52"/>
        <v>0</v>
      </c>
      <c r="AX64" s="5">
        <f t="shared" si="53"/>
        <v>0</v>
      </c>
      <c r="AY64" s="5">
        <f t="shared" si="54"/>
        <v>9000</v>
      </c>
      <c r="AZ64" s="5">
        <f t="shared" si="55"/>
        <v>-9000</v>
      </c>
      <c r="BA64" s="6">
        <f t="shared" si="56"/>
        <v>0</v>
      </c>
    </row>
    <row r="65" spans="1:53" x14ac:dyDescent="0.25">
      <c r="A65" s="3" t="s">
        <v>78</v>
      </c>
      <c r="B65" s="5">
        <f>487.5</f>
        <v>487.5</v>
      </c>
      <c r="C65" s="4"/>
      <c r="D65" s="5">
        <f t="shared" si="29"/>
        <v>487.5</v>
      </c>
      <c r="E65" s="6" t="str">
        <f t="shared" si="30"/>
        <v/>
      </c>
      <c r="F65" s="5">
        <f>487.5</f>
        <v>487.5</v>
      </c>
      <c r="G65" s="4"/>
      <c r="H65" s="5">
        <f t="shared" si="31"/>
        <v>487.5</v>
      </c>
      <c r="I65" s="6" t="str">
        <f t="shared" si="32"/>
        <v/>
      </c>
      <c r="J65" s="5">
        <f>975</f>
        <v>975</v>
      </c>
      <c r="K65" s="4"/>
      <c r="L65" s="5">
        <f t="shared" si="33"/>
        <v>975</v>
      </c>
      <c r="M65" s="6" t="str">
        <f t="shared" si="34"/>
        <v/>
      </c>
      <c r="N65" s="5">
        <f>487.5</f>
        <v>487.5</v>
      </c>
      <c r="O65" s="4"/>
      <c r="P65" s="5">
        <f t="shared" si="35"/>
        <v>487.5</v>
      </c>
      <c r="Q65" s="6" t="str">
        <f t="shared" si="36"/>
        <v/>
      </c>
      <c r="R65" s="5">
        <f>487.5</f>
        <v>487.5</v>
      </c>
      <c r="S65" s="4"/>
      <c r="T65" s="5">
        <f t="shared" si="37"/>
        <v>487.5</v>
      </c>
      <c r="U65" s="6" t="str">
        <f t="shared" si="38"/>
        <v/>
      </c>
      <c r="V65" s="5">
        <f>487.5</f>
        <v>487.5</v>
      </c>
      <c r="W65" s="4"/>
      <c r="X65" s="5">
        <f t="shared" si="39"/>
        <v>487.5</v>
      </c>
      <c r="Y65" s="6" t="str">
        <f t="shared" si="40"/>
        <v/>
      </c>
      <c r="Z65" s="5">
        <f>487.5</f>
        <v>487.5</v>
      </c>
      <c r="AA65" s="4"/>
      <c r="AB65" s="5">
        <f t="shared" si="41"/>
        <v>487.5</v>
      </c>
      <c r="AC65" s="6" t="str">
        <f t="shared" si="42"/>
        <v/>
      </c>
      <c r="AD65" s="5">
        <f>500.5</f>
        <v>500.5</v>
      </c>
      <c r="AE65" s="4"/>
      <c r="AF65" s="5">
        <f t="shared" si="43"/>
        <v>500.5</v>
      </c>
      <c r="AG65" s="6" t="str">
        <f t="shared" si="44"/>
        <v/>
      </c>
      <c r="AH65" s="5">
        <f>500.5</f>
        <v>500.5</v>
      </c>
      <c r="AI65" s="4"/>
      <c r="AJ65" s="5">
        <f t="shared" si="45"/>
        <v>500.5</v>
      </c>
      <c r="AK65" s="6" t="str">
        <f t="shared" si="46"/>
        <v/>
      </c>
      <c r="AL65" s="5">
        <f>500.5</f>
        <v>500.5</v>
      </c>
      <c r="AM65" s="4"/>
      <c r="AN65" s="5">
        <f t="shared" si="47"/>
        <v>500.5</v>
      </c>
      <c r="AO65" s="6" t="str">
        <f t="shared" si="48"/>
        <v/>
      </c>
      <c r="AP65" s="5">
        <f>500.5</f>
        <v>500.5</v>
      </c>
      <c r="AQ65" s="4"/>
      <c r="AR65" s="5">
        <f t="shared" si="49"/>
        <v>500.5</v>
      </c>
      <c r="AS65" s="6" t="str">
        <f t="shared" si="50"/>
        <v/>
      </c>
      <c r="AT65" s="5">
        <f>677.82</f>
        <v>677.82</v>
      </c>
      <c r="AU65" s="4"/>
      <c r="AV65" s="5">
        <f t="shared" si="51"/>
        <v>677.82</v>
      </c>
      <c r="AW65" s="6" t="str">
        <f t="shared" si="52"/>
        <v/>
      </c>
      <c r="AX65" s="5">
        <f t="shared" si="53"/>
        <v>6579.82</v>
      </c>
      <c r="AY65" s="5">
        <f t="shared" si="54"/>
        <v>0</v>
      </c>
      <c r="AZ65" s="5">
        <f t="shared" si="55"/>
        <v>6579.82</v>
      </c>
      <c r="BA65" s="6" t="str">
        <f t="shared" si="56"/>
        <v/>
      </c>
    </row>
    <row r="66" spans="1:53" x14ac:dyDescent="0.25">
      <c r="A66" s="3" t="s">
        <v>79</v>
      </c>
      <c r="B66" s="5">
        <f>262.5</f>
        <v>262.5</v>
      </c>
      <c r="C66" s="4"/>
      <c r="D66" s="5">
        <f t="shared" si="29"/>
        <v>262.5</v>
      </c>
      <c r="E66" s="6" t="str">
        <f t="shared" si="30"/>
        <v/>
      </c>
      <c r="F66" s="5">
        <f>262.5</f>
        <v>262.5</v>
      </c>
      <c r="G66" s="4"/>
      <c r="H66" s="5">
        <f t="shared" si="31"/>
        <v>262.5</v>
      </c>
      <c r="I66" s="6" t="str">
        <f t="shared" si="32"/>
        <v/>
      </c>
      <c r="J66" s="5">
        <f>525</f>
        <v>525</v>
      </c>
      <c r="K66" s="4"/>
      <c r="L66" s="5">
        <f t="shared" si="33"/>
        <v>525</v>
      </c>
      <c r="M66" s="6" t="str">
        <f t="shared" si="34"/>
        <v/>
      </c>
      <c r="N66" s="5">
        <f>262.5</f>
        <v>262.5</v>
      </c>
      <c r="O66" s="4"/>
      <c r="P66" s="5">
        <f t="shared" si="35"/>
        <v>262.5</v>
      </c>
      <c r="Q66" s="6" t="str">
        <f t="shared" si="36"/>
        <v/>
      </c>
      <c r="R66" s="5">
        <f>262.5</f>
        <v>262.5</v>
      </c>
      <c r="S66" s="4"/>
      <c r="T66" s="5">
        <f t="shared" si="37"/>
        <v>262.5</v>
      </c>
      <c r="U66" s="6" t="str">
        <f t="shared" si="38"/>
        <v/>
      </c>
      <c r="V66" s="5">
        <f>262.5</f>
        <v>262.5</v>
      </c>
      <c r="W66" s="4"/>
      <c r="X66" s="5">
        <f t="shared" si="39"/>
        <v>262.5</v>
      </c>
      <c r="Y66" s="6" t="str">
        <f t="shared" si="40"/>
        <v/>
      </c>
      <c r="Z66" s="5">
        <f>262.5</f>
        <v>262.5</v>
      </c>
      <c r="AA66" s="4"/>
      <c r="AB66" s="5">
        <f t="shared" si="41"/>
        <v>262.5</v>
      </c>
      <c r="AC66" s="6" t="str">
        <f t="shared" si="42"/>
        <v/>
      </c>
      <c r="AD66" s="5">
        <f>269.5</f>
        <v>269.5</v>
      </c>
      <c r="AE66" s="4"/>
      <c r="AF66" s="5">
        <f t="shared" si="43"/>
        <v>269.5</v>
      </c>
      <c r="AG66" s="6" t="str">
        <f t="shared" si="44"/>
        <v/>
      </c>
      <c r="AH66" s="5">
        <f>269.5</f>
        <v>269.5</v>
      </c>
      <c r="AI66" s="4"/>
      <c r="AJ66" s="5">
        <f t="shared" si="45"/>
        <v>269.5</v>
      </c>
      <c r="AK66" s="6" t="str">
        <f t="shared" si="46"/>
        <v/>
      </c>
      <c r="AL66" s="5">
        <f>269.5</f>
        <v>269.5</v>
      </c>
      <c r="AM66" s="4"/>
      <c r="AN66" s="5">
        <f t="shared" si="47"/>
        <v>269.5</v>
      </c>
      <c r="AO66" s="6" t="str">
        <f t="shared" si="48"/>
        <v/>
      </c>
      <c r="AP66" s="5">
        <f>269.5</f>
        <v>269.5</v>
      </c>
      <c r="AQ66" s="4"/>
      <c r="AR66" s="5">
        <f t="shared" si="49"/>
        <v>269.5</v>
      </c>
      <c r="AS66" s="6" t="str">
        <f t="shared" si="50"/>
        <v/>
      </c>
      <c r="AT66" s="5">
        <f>364.98</f>
        <v>364.98</v>
      </c>
      <c r="AU66" s="4"/>
      <c r="AV66" s="5">
        <f t="shared" si="51"/>
        <v>364.98</v>
      </c>
      <c r="AW66" s="6" t="str">
        <f t="shared" si="52"/>
        <v/>
      </c>
      <c r="AX66" s="5">
        <f t="shared" si="53"/>
        <v>3542.98</v>
      </c>
      <c r="AY66" s="5">
        <f t="shared" si="54"/>
        <v>0</v>
      </c>
      <c r="AZ66" s="5">
        <f t="shared" si="55"/>
        <v>3542.98</v>
      </c>
      <c r="BA66" s="6" t="str">
        <f t="shared" si="56"/>
        <v/>
      </c>
    </row>
    <row r="67" spans="1:53" x14ac:dyDescent="0.25">
      <c r="A67" s="3" t="s">
        <v>80</v>
      </c>
      <c r="B67" s="5">
        <f>0</f>
        <v>0</v>
      </c>
      <c r="C67" s="4"/>
      <c r="D67" s="5">
        <f t="shared" si="29"/>
        <v>0</v>
      </c>
      <c r="E67" s="6" t="str">
        <f t="shared" si="30"/>
        <v/>
      </c>
      <c r="F67" s="5">
        <f>0</f>
        <v>0</v>
      </c>
      <c r="G67" s="4"/>
      <c r="H67" s="5">
        <f t="shared" si="31"/>
        <v>0</v>
      </c>
      <c r="I67" s="6" t="str">
        <f t="shared" si="32"/>
        <v/>
      </c>
      <c r="J67" s="5">
        <f>0</f>
        <v>0</v>
      </c>
      <c r="K67" s="4"/>
      <c r="L67" s="5">
        <f t="shared" si="33"/>
        <v>0</v>
      </c>
      <c r="M67" s="6" t="str">
        <f t="shared" si="34"/>
        <v/>
      </c>
      <c r="N67" s="5">
        <f>0</f>
        <v>0</v>
      </c>
      <c r="O67" s="4"/>
      <c r="P67" s="5">
        <f t="shared" si="35"/>
        <v>0</v>
      </c>
      <c r="Q67" s="6" t="str">
        <f t="shared" si="36"/>
        <v/>
      </c>
      <c r="R67" s="5">
        <f>0</f>
        <v>0</v>
      </c>
      <c r="S67" s="4"/>
      <c r="T67" s="5">
        <f t="shared" si="37"/>
        <v>0</v>
      </c>
      <c r="U67" s="6" t="str">
        <f t="shared" si="38"/>
        <v/>
      </c>
      <c r="V67" s="5">
        <f>0</f>
        <v>0</v>
      </c>
      <c r="W67" s="4"/>
      <c r="X67" s="5">
        <f t="shared" si="39"/>
        <v>0</v>
      </c>
      <c r="Y67" s="6" t="str">
        <f t="shared" si="40"/>
        <v/>
      </c>
      <c r="Z67" s="5">
        <f>0</f>
        <v>0</v>
      </c>
      <c r="AA67" s="4"/>
      <c r="AB67" s="5">
        <f t="shared" si="41"/>
        <v>0</v>
      </c>
      <c r="AC67" s="6" t="str">
        <f t="shared" si="42"/>
        <v/>
      </c>
      <c r="AD67" s="5">
        <f>0</f>
        <v>0</v>
      </c>
      <c r="AE67" s="4"/>
      <c r="AF67" s="5">
        <f t="shared" si="43"/>
        <v>0</v>
      </c>
      <c r="AG67" s="6" t="str">
        <f t="shared" si="44"/>
        <v/>
      </c>
      <c r="AH67" s="5">
        <f>0</f>
        <v>0</v>
      </c>
      <c r="AI67" s="4"/>
      <c r="AJ67" s="5">
        <f t="shared" si="45"/>
        <v>0</v>
      </c>
      <c r="AK67" s="6" t="str">
        <f t="shared" si="46"/>
        <v/>
      </c>
      <c r="AL67" s="5">
        <f>0</f>
        <v>0</v>
      </c>
      <c r="AM67" s="4"/>
      <c r="AN67" s="5">
        <f t="shared" si="47"/>
        <v>0</v>
      </c>
      <c r="AO67" s="6" t="str">
        <f t="shared" si="48"/>
        <v/>
      </c>
      <c r="AP67" s="5">
        <f>0</f>
        <v>0</v>
      </c>
      <c r="AQ67" s="4"/>
      <c r="AR67" s="5">
        <f t="shared" si="49"/>
        <v>0</v>
      </c>
      <c r="AS67" s="6" t="str">
        <f t="shared" si="50"/>
        <v/>
      </c>
      <c r="AT67" s="5">
        <f>0</f>
        <v>0</v>
      </c>
      <c r="AU67" s="4"/>
      <c r="AV67" s="5">
        <f t="shared" si="51"/>
        <v>0</v>
      </c>
      <c r="AW67" s="6" t="str">
        <f t="shared" si="52"/>
        <v/>
      </c>
      <c r="AX67" s="5">
        <f t="shared" si="53"/>
        <v>0</v>
      </c>
      <c r="AY67" s="5">
        <f t="shared" si="54"/>
        <v>0</v>
      </c>
      <c r="AZ67" s="5">
        <f t="shared" si="55"/>
        <v>0</v>
      </c>
      <c r="BA67" s="6" t="str">
        <f t="shared" si="56"/>
        <v/>
      </c>
    </row>
    <row r="68" spans="1:53" x14ac:dyDescent="0.25">
      <c r="A68" s="3" t="s">
        <v>81</v>
      </c>
      <c r="B68" s="7">
        <f>(((B64)+(B65))+(B66))+(B67)</f>
        <v>750</v>
      </c>
      <c r="C68" s="7">
        <f>(((C64)+(C65))+(C66))+(C67)</f>
        <v>750</v>
      </c>
      <c r="D68" s="7">
        <f t="shared" si="29"/>
        <v>0</v>
      </c>
      <c r="E68" s="8">
        <f t="shared" si="30"/>
        <v>1</v>
      </c>
      <c r="F68" s="7">
        <f>(((F64)+(F65))+(F66))+(F67)</f>
        <v>750</v>
      </c>
      <c r="G68" s="7">
        <f>(((G64)+(G65))+(G66))+(G67)</f>
        <v>750</v>
      </c>
      <c r="H68" s="7">
        <f t="shared" si="31"/>
        <v>0</v>
      </c>
      <c r="I68" s="8">
        <f t="shared" si="32"/>
        <v>1</v>
      </c>
      <c r="J68" s="7">
        <f>(((J64)+(J65))+(J66))+(J67)</f>
        <v>1500</v>
      </c>
      <c r="K68" s="7">
        <f>(((K64)+(K65))+(K66))+(K67)</f>
        <v>750</v>
      </c>
      <c r="L68" s="7">
        <f t="shared" si="33"/>
        <v>750</v>
      </c>
      <c r="M68" s="8">
        <f t="shared" si="34"/>
        <v>2</v>
      </c>
      <c r="N68" s="7">
        <f>(((N64)+(N65))+(N66))+(N67)</f>
        <v>750</v>
      </c>
      <c r="O68" s="7">
        <f>(((O64)+(O65))+(O66))+(O67)</f>
        <v>750</v>
      </c>
      <c r="P68" s="7">
        <f t="shared" si="35"/>
        <v>0</v>
      </c>
      <c r="Q68" s="8">
        <f t="shared" si="36"/>
        <v>1</v>
      </c>
      <c r="R68" s="7">
        <f>(((R64)+(R65))+(R66))+(R67)</f>
        <v>750</v>
      </c>
      <c r="S68" s="7">
        <f>(((S64)+(S65))+(S66))+(S67)</f>
        <v>750</v>
      </c>
      <c r="T68" s="7">
        <f t="shared" si="37"/>
        <v>0</v>
      </c>
      <c r="U68" s="8">
        <f t="shared" si="38"/>
        <v>1</v>
      </c>
      <c r="V68" s="7">
        <f>(((V64)+(V65))+(V66))+(V67)</f>
        <v>750</v>
      </c>
      <c r="W68" s="7">
        <f>(((W64)+(W65))+(W66))+(W67)</f>
        <v>750</v>
      </c>
      <c r="X68" s="7">
        <f t="shared" si="39"/>
        <v>0</v>
      </c>
      <c r="Y68" s="8">
        <f t="shared" si="40"/>
        <v>1</v>
      </c>
      <c r="Z68" s="7">
        <f>(((Z64)+(Z65))+(Z66))+(Z67)</f>
        <v>750</v>
      </c>
      <c r="AA68" s="7">
        <f>(((AA64)+(AA65))+(AA66))+(AA67)</f>
        <v>750</v>
      </c>
      <c r="AB68" s="7">
        <f t="shared" si="41"/>
        <v>0</v>
      </c>
      <c r="AC68" s="8">
        <f t="shared" si="42"/>
        <v>1</v>
      </c>
      <c r="AD68" s="7">
        <f>(((AD64)+(AD65))+(AD66))+(AD67)</f>
        <v>770</v>
      </c>
      <c r="AE68" s="7">
        <f>(((AE64)+(AE65))+(AE66))+(AE67)</f>
        <v>750</v>
      </c>
      <c r="AF68" s="7">
        <f t="shared" si="43"/>
        <v>20</v>
      </c>
      <c r="AG68" s="8">
        <f t="shared" si="44"/>
        <v>1.0266666666666666</v>
      </c>
      <c r="AH68" s="7">
        <f>(((AH64)+(AH65))+(AH66))+(AH67)</f>
        <v>770</v>
      </c>
      <c r="AI68" s="7">
        <f>(((AI64)+(AI65))+(AI66))+(AI67)</f>
        <v>750</v>
      </c>
      <c r="AJ68" s="7">
        <f t="shared" si="45"/>
        <v>20</v>
      </c>
      <c r="AK68" s="8">
        <f t="shared" si="46"/>
        <v>1.0266666666666666</v>
      </c>
      <c r="AL68" s="7">
        <f>(((AL64)+(AL65))+(AL66))+(AL67)</f>
        <v>770</v>
      </c>
      <c r="AM68" s="7">
        <f>(((AM64)+(AM65))+(AM66))+(AM67)</f>
        <v>750</v>
      </c>
      <c r="AN68" s="7">
        <f t="shared" si="47"/>
        <v>20</v>
      </c>
      <c r="AO68" s="8">
        <f t="shared" si="48"/>
        <v>1.0266666666666666</v>
      </c>
      <c r="AP68" s="7">
        <f>(((AP64)+(AP65))+(AP66))+(AP67)</f>
        <v>770</v>
      </c>
      <c r="AQ68" s="7">
        <f>(((AQ64)+(AQ65))+(AQ66))+(AQ67)</f>
        <v>750</v>
      </c>
      <c r="AR68" s="7">
        <f t="shared" si="49"/>
        <v>20</v>
      </c>
      <c r="AS68" s="8">
        <f t="shared" si="50"/>
        <v>1.0266666666666666</v>
      </c>
      <c r="AT68" s="7">
        <f>(((AT64)+(AT65))+(AT66))+(AT67)</f>
        <v>1042.8000000000002</v>
      </c>
      <c r="AU68" s="7">
        <f>(((AU64)+(AU65))+(AU66))+(AU67)</f>
        <v>750</v>
      </c>
      <c r="AV68" s="7">
        <f t="shared" si="51"/>
        <v>292.80000000000018</v>
      </c>
      <c r="AW68" s="8">
        <f t="shared" si="52"/>
        <v>1.3904000000000003</v>
      </c>
      <c r="AX68" s="7">
        <f t="shared" si="53"/>
        <v>10122.799999999999</v>
      </c>
      <c r="AY68" s="7">
        <f t="shared" si="54"/>
        <v>9000</v>
      </c>
      <c r="AZ68" s="7">
        <f t="shared" si="55"/>
        <v>1122.7999999999993</v>
      </c>
      <c r="BA68" s="8">
        <f t="shared" si="56"/>
        <v>1.1247555555555555</v>
      </c>
    </row>
    <row r="69" spans="1:53" x14ac:dyDescent="0.25">
      <c r="A69" s="3" t="s">
        <v>82</v>
      </c>
      <c r="B69" s="4"/>
      <c r="C69" s="5">
        <f>766.67</f>
        <v>766.67</v>
      </c>
      <c r="D69" s="5">
        <f t="shared" si="29"/>
        <v>-766.67</v>
      </c>
      <c r="E69" s="6">
        <f t="shared" si="30"/>
        <v>0</v>
      </c>
      <c r="F69" s="4"/>
      <c r="G69" s="5">
        <f>766.67</f>
        <v>766.67</v>
      </c>
      <c r="H69" s="5">
        <f t="shared" si="31"/>
        <v>-766.67</v>
      </c>
      <c r="I69" s="6">
        <f t="shared" si="32"/>
        <v>0</v>
      </c>
      <c r="J69" s="4"/>
      <c r="K69" s="5">
        <f>766.67</f>
        <v>766.67</v>
      </c>
      <c r="L69" s="5">
        <f t="shared" si="33"/>
        <v>-766.67</v>
      </c>
      <c r="M69" s="6">
        <f t="shared" si="34"/>
        <v>0</v>
      </c>
      <c r="N69" s="4"/>
      <c r="O69" s="5">
        <f>766.67</f>
        <v>766.67</v>
      </c>
      <c r="P69" s="5">
        <f t="shared" si="35"/>
        <v>-766.67</v>
      </c>
      <c r="Q69" s="6">
        <f t="shared" si="36"/>
        <v>0</v>
      </c>
      <c r="R69" s="4"/>
      <c r="S69" s="5">
        <f>766.67</f>
        <v>766.67</v>
      </c>
      <c r="T69" s="5">
        <f t="shared" si="37"/>
        <v>-766.67</v>
      </c>
      <c r="U69" s="6">
        <f t="shared" si="38"/>
        <v>0</v>
      </c>
      <c r="V69" s="4"/>
      <c r="W69" s="5">
        <f>766.67</f>
        <v>766.67</v>
      </c>
      <c r="X69" s="5">
        <f t="shared" si="39"/>
        <v>-766.67</v>
      </c>
      <c r="Y69" s="6">
        <f t="shared" si="40"/>
        <v>0</v>
      </c>
      <c r="Z69" s="4"/>
      <c r="AA69" s="5">
        <f>766.67</f>
        <v>766.67</v>
      </c>
      <c r="AB69" s="5">
        <f t="shared" si="41"/>
        <v>-766.67</v>
      </c>
      <c r="AC69" s="6">
        <f t="shared" si="42"/>
        <v>0</v>
      </c>
      <c r="AD69" s="4"/>
      <c r="AE69" s="5">
        <f>766.67</f>
        <v>766.67</v>
      </c>
      <c r="AF69" s="5">
        <f t="shared" si="43"/>
        <v>-766.67</v>
      </c>
      <c r="AG69" s="6">
        <f t="shared" si="44"/>
        <v>0</v>
      </c>
      <c r="AH69" s="4"/>
      <c r="AI69" s="5">
        <f>766.67</f>
        <v>766.67</v>
      </c>
      <c r="AJ69" s="5">
        <f t="shared" si="45"/>
        <v>-766.67</v>
      </c>
      <c r="AK69" s="6">
        <f t="shared" si="46"/>
        <v>0</v>
      </c>
      <c r="AL69" s="4"/>
      <c r="AM69" s="5">
        <f>766.67</f>
        <v>766.67</v>
      </c>
      <c r="AN69" s="5">
        <f t="shared" si="47"/>
        <v>-766.67</v>
      </c>
      <c r="AO69" s="6">
        <f t="shared" si="48"/>
        <v>0</v>
      </c>
      <c r="AP69" s="4"/>
      <c r="AQ69" s="5">
        <f>766.67</f>
        <v>766.67</v>
      </c>
      <c r="AR69" s="5">
        <f t="shared" si="49"/>
        <v>-766.67</v>
      </c>
      <c r="AS69" s="6">
        <f t="shared" si="50"/>
        <v>0</v>
      </c>
      <c r="AT69" s="4"/>
      <c r="AU69" s="5">
        <f>766.67</f>
        <v>766.67</v>
      </c>
      <c r="AV69" s="5">
        <f t="shared" si="51"/>
        <v>-766.67</v>
      </c>
      <c r="AW69" s="6">
        <f t="shared" si="52"/>
        <v>0</v>
      </c>
      <c r="AX69" s="5">
        <f t="shared" si="53"/>
        <v>0</v>
      </c>
      <c r="AY69" s="5">
        <f t="shared" si="54"/>
        <v>9200.0399999999991</v>
      </c>
      <c r="AZ69" s="5">
        <f t="shared" si="55"/>
        <v>-9200.0399999999991</v>
      </c>
      <c r="BA69" s="6">
        <f t="shared" si="56"/>
        <v>0</v>
      </c>
    </row>
    <row r="70" spans="1:53" x14ac:dyDescent="0.25">
      <c r="A70" s="3" t="s">
        <v>83</v>
      </c>
      <c r="B70" s="5">
        <f>122.28</f>
        <v>122.28</v>
      </c>
      <c r="C70" s="4"/>
      <c r="D70" s="5">
        <f t="shared" si="29"/>
        <v>122.28</v>
      </c>
      <c r="E70" s="6" t="str">
        <f t="shared" si="30"/>
        <v/>
      </c>
      <c r="F70" s="5">
        <f>609.08</f>
        <v>609.08000000000004</v>
      </c>
      <c r="G70" s="4"/>
      <c r="H70" s="5">
        <f t="shared" si="31"/>
        <v>609.08000000000004</v>
      </c>
      <c r="I70" s="6" t="str">
        <f t="shared" si="32"/>
        <v/>
      </c>
      <c r="J70" s="5">
        <f>422.23</f>
        <v>422.23</v>
      </c>
      <c r="K70" s="4"/>
      <c r="L70" s="5">
        <f t="shared" si="33"/>
        <v>422.23</v>
      </c>
      <c r="M70" s="6" t="str">
        <f t="shared" si="34"/>
        <v/>
      </c>
      <c r="N70" s="5">
        <f>397.8</f>
        <v>397.8</v>
      </c>
      <c r="O70" s="4"/>
      <c r="P70" s="5">
        <f t="shared" si="35"/>
        <v>397.8</v>
      </c>
      <c r="Q70" s="6" t="str">
        <f t="shared" si="36"/>
        <v/>
      </c>
      <c r="R70" s="5">
        <f>292.5</f>
        <v>292.5</v>
      </c>
      <c r="S70" s="4"/>
      <c r="T70" s="5">
        <f t="shared" si="37"/>
        <v>292.5</v>
      </c>
      <c r="U70" s="6" t="str">
        <f t="shared" si="38"/>
        <v/>
      </c>
      <c r="V70" s="5">
        <f>290.27</f>
        <v>290.27</v>
      </c>
      <c r="W70" s="4"/>
      <c r="X70" s="5">
        <f t="shared" si="39"/>
        <v>290.27</v>
      </c>
      <c r="Y70" s="6" t="str">
        <f t="shared" si="40"/>
        <v/>
      </c>
      <c r="Z70" s="5">
        <f>375.7</f>
        <v>375.7</v>
      </c>
      <c r="AA70" s="4"/>
      <c r="AB70" s="5">
        <f t="shared" si="41"/>
        <v>375.7</v>
      </c>
      <c r="AC70" s="6" t="str">
        <f t="shared" si="42"/>
        <v/>
      </c>
      <c r="AD70" s="5">
        <f>266.92</f>
        <v>266.92</v>
      </c>
      <c r="AE70" s="4"/>
      <c r="AF70" s="5">
        <f t="shared" si="43"/>
        <v>266.92</v>
      </c>
      <c r="AG70" s="6" t="str">
        <f t="shared" si="44"/>
        <v/>
      </c>
      <c r="AH70" s="5">
        <f>314</f>
        <v>314</v>
      </c>
      <c r="AI70" s="4"/>
      <c r="AJ70" s="5">
        <f t="shared" si="45"/>
        <v>314</v>
      </c>
      <c r="AK70" s="6" t="str">
        <f t="shared" si="46"/>
        <v/>
      </c>
      <c r="AL70" s="5">
        <f>687.25</f>
        <v>687.25</v>
      </c>
      <c r="AM70" s="4"/>
      <c r="AN70" s="5">
        <f t="shared" si="47"/>
        <v>687.25</v>
      </c>
      <c r="AO70" s="6" t="str">
        <f t="shared" si="48"/>
        <v/>
      </c>
      <c r="AP70" s="5">
        <f>575.55</f>
        <v>575.54999999999995</v>
      </c>
      <c r="AQ70" s="4"/>
      <c r="AR70" s="5">
        <f t="shared" si="49"/>
        <v>575.54999999999995</v>
      </c>
      <c r="AS70" s="6" t="str">
        <f t="shared" si="50"/>
        <v/>
      </c>
      <c r="AT70" s="5">
        <f>445.32</f>
        <v>445.32</v>
      </c>
      <c r="AU70" s="4"/>
      <c r="AV70" s="5">
        <f t="shared" si="51"/>
        <v>445.32</v>
      </c>
      <c r="AW70" s="6" t="str">
        <f t="shared" si="52"/>
        <v/>
      </c>
      <c r="AX70" s="5">
        <f t="shared" si="53"/>
        <v>4798.8999999999996</v>
      </c>
      <c r="AY70" s="5">
        <f t="shared" si="54"/>
        <v>0</v>
      </c>
      <c r="AZ70" s="5">
        <f t="shared" si="55"/>
        <v>4798.8999999999996</v>
      </c>
      <c r="BA70" s="6" t="str">
        <f t="shared" si="56"/>
        <v/>
      </c>
    </row>
    <row r="71" spans="1:53" x14ac:dyDescent="0.25">
      <c r="A71" s="3" t="s">
        <v>84</v>
      </c>
      <c r="B71" s="5">
        <f>65.84</f>
        <v>65.84</v>
      </c>
      <c r="C71" s="4"/>
      <c r="D71" s="5">
        <f t="shared" si="29"/>
        <v>65.84</v>
      </c>
      <c r="E71" s="6" t="str">
        <f t="shared" si="30"/>
        <v/>
      </c>
      <c r="F71" s="5">
        <f>327.97</f>
        <v>327.97</v>
      </c>
      <c r="G71" s="4"/>
      <c r="H71" s="5">
        <f t="shared" si="31"/>
        <v>327.97</v>
      </c>
      <c r="I71" s="6" t="str">
        <f t="shared" si="32"/>
        <v/>
      </c>
      <c r="J71" s="5">
        <f>227.35</f>
        <v>227.35</v>
      </c>
      <c r="K71" s="4"/>
      <c r="L71" s="5">
        <f t="shared" si="33"/>
        <v>227.35</v>
      </c>
      <c r="M71" s="6" t="str">
        <f t="shared" si="34"/>
        <v/>
      </c>
      <c r="N71" s="5">
        <f>214.2</f>
        <v>214.2</v>
      </c>
      <c r="O71" s="4"/>
      <c r="P71" s="5">
        <f t="shared" si="35"/>
        <v>214.2</v>
      </c>
      <c r="Q71" s="6" t="str">
        <f t="shared" si="36"/>
        <v/>
      </c>
      <c r="R71" s="5">
        <f>157.5</f>
        <v>157.5</v>
      </c>
      <c r="S71" s="4"/>
      <c r="T71" s="5">
        <f t="shared" si="37"/>
        <v>157.5</v>
      </c>
      <c r="U71" s="6" t="str">
        <f t="shared" si="38"/>
        <v/>
      </c>
      <c r="V71" s="5">
        <f>156.3</f>
        <v>156.30000000000001</v>
      </c>
      <c r="W71" s="4"/>
      <c r="X71" s="5">
        <f t="shared" si="39"/>
        <v>156.30000000000001</v>
      </c>
      <c r="Y71" s="6" t="str">
        <f t="shared" si="40"/>
        <v/>
      </c>
      <c r="Z71" s="5">
        <f>202.3</f>
        <v>202.3</v>
      </c>
      <c r="AA71" s="4"/>
      <c r="AB71" s="5">
        <f t="shared" si="41"/>
        <v>202.3</v>
      </c>
      <c r="AC71" s="6" t="str">
        <f t="shared" si="42"/>
        <v/>
      </c>
      <c r="AD71" s="5">
        <f>143.73</f>
        <v>143.72999999999999</v>
      </c>
      <c r="AE71" s="4"/>
      <c r="AF71" s="5">
        <f t="shared" si="43"/>
        <v>143.72999999999999</v>
      </c>
      <c r="AG71" s="6" t="str">
        <f t="shared" si="44"/>
        <v/>
      </c>
      <c r="AH71" s="5">
        <f>169.08</f>
        <v>169.08</v>
      </c>
      <c r="AI71" s="4"/>
      <c r="AJ71" s="5">
        <f t="shared" si="45"/>
        <v>169.08</v>
      </c>
      <c r="AK71" s="6" t="str">
        <f t="shared" si="46"/>
        <v/>
      </c>
      <c r="AL71" s="5">
        <f>370.06</f>
        <v>370.06</v>
      </c>
      <c r="AM71" s="4"/>
      <c r="AN71" s="5">
        <f t="shared" si="47"/>
        <v>370.06</v>
      </c>
      <c r="AO71" s="6" t="str">
        <f t="shared" si="48"/>
        <v/>
      </c>
      <c r="AP71" s="5">
        <f>309.91</f>
        <v>309.91000000000003</v>
      </c>
      <c r="AQ71" s="4"/>
      <c r="AR71" s="5">
        <f t="shared" si="49"/>
        <v>309.91000000000003</v>
      </c>
      <c r="AS71" s="6" t="str">
        <f t="shared" si="50"/>
        <v/>
      </c>
      <c r="AT71" s="5">
        <f>239.79</f>
        <v>239.79</v>
      </c>
      <c r="AU71" s="4"/>
      <c r="AV71" s="5">
        <f t="shared" si="51"/>
        <v>239.79</v>
      </c>
      <c r="AW71" s="6" t="str">
        <f t="shared" si="52"/>
        <v/>
      </c>
      <c r="AX71" s="5">
        <f t="shared" si="53"/>
        <v>2584.0299999999997</v>
      </c>
      <c r="AY71" s="5">
        <f t="shared" si="54"/>
        <v>0</v>
      </c>
      <c r="AZ71" s="5">
        <f t="shared" si="55"/>
        <v>2584.0299999999997</v>
      </c>
      <c r="BA71" s="6" t="str">
        <f t="shared" si="56"/>
        <v/>
      </c>
    </row>
    <row r="72" spans="1:53" x14ac:dyDescent="0.25">
      <c r="A72" s="3" t="s">
        <v>85</v>
      </c>
      <c r="B72" s="5">
        <f>0</f>
        <v>0</v>
      </c>
      <c r="C72" s="4"/>
      <c r="D72" s="5">
        <f t="shared" si="29"/>
        <v>0</v>
      </c>
      <c r="E72" s="6" t="str">
        <f t="shared" si="30"/>
        <v/>
      </c>
      <c r="F72" s="5">
        <f>0</f>
        <v>0</v>
      </c>
      <c r="G72" s="4"/>
      <c r="H72" s="5">
        <f t="shared" si="31"/>
        <v>0</v>
      </c>
      <c r="I72" s="6" t="str">
        <f t="shared" si="32"/>
        <v/>
      </c>
      <c r="J72" s="5">
        <f>0</f>
        <v>0</v>
      </c>
      <c r="K72" s="4"/>
      <c r="L72" s="5">
        <f t="shared" si="33"/>
        <v>0</v>
      </c>
      <c r="M72" s="6" t="str">
        <f t="shared" si="34"/>
        <v/>
      </c>
      <c r="N72" s="5">
        <f>0</f>
        <v>0</v>
      </c>
      <c r="O72" s="4"/>
      <c r="P72" s="5">
        <f t="shared" si="35"/>
        <v>0</v>
      </c>
      <c r="Q72" s="6" t="str">
        <f t="shared" si="36"/>
        <v/>
      </c>
      <c r="R72" s="5">
        <f>0</f>
        <v>0</v>
      </c>
      <c r="S72" s="4"/>
      <c r="T72" s="5">
        <f t="shared" si="37"/>
        <v>0</v>
      </c>
      <c r="U72" s="6" t="str">
        <f t="shared" si="38"/>
        <v/>
      </c>
      <c r="V72" s="5">
        <f>0</f>
        <v>0</v>
      </c>
      <c r="W72" s="4"/>
      <c r="X72" s="5">
        <f t="shared" si="39"/>
        <v>0</v>
      </c>
      <c r="Y72" s="6" t="str">
        <f t="shared" si="40"/>
        <v/>
      </c>
      <c r="Z72" s="5">
        <f>0</f>
        <v>0</v>
      </c>
      <c r="AA72" s="4"/>
      <c r="AB72" s="5">
        <f t="shared" si="41"/>
        <v>0</v>
      </c>
      <c r="AC72" s="6" t="str">
        <f t="shared" si="42"/>
        <v/>
      </c>
      <c r="AD72" s="5">
        <f>0</f>
        <v>0</v>
      </c>
      <c r="AE72" s="4"/>
      <c r="AF72" s="5">
        <f t="shared" si="43"/>
        <v>0</v>
      </c>
      <c r="AG72" s="6" t="str">
        <f t="shared" si="44"/>
        <v/>
      </c>
      <c r="AH72" s="5">
        <f>0</f>
        <v>0</v>
      </c>
      <c r="AI72" s="4"/>
      <c r="AJ72" s="5">
        <f t="shared" si="45"/>
        <v>0</v>
      </c>
      <c r="AK72" s="6" t="str">
        <f t="shared" si="46"/>
        <v/>
      </c>
      <c r="AL72" s="5">
        <f>0</f>
        <v>0</v>
      </c>
      <c r="AM72" s="4"/>
      <c r="AN72" s="5">
        <f t="shared" si="47"/>
        <v>0</v>
      </c>
      <c r="AO72" s="6" t="str">
        <f t="shared" si="48"/>
        <v/>
      </c>
      <c r="AP72" s="5">
        <f>0</f>
        <v>0</v>
      </c>
      <c r="AQ72" s="4"/>
      <c r="AR72" s="5">
        <f t="shared" si="49"/>
        <v>0</v>
      </c>
      <c r="AS72" s="6" t="str">
        <f t="shared" si="50"/>
        <v/>
      </c>
      <c r="AT72" s="5">
        <f>0</f>
        <v>0</v>
      </c>
      <c r="AU72" s="4"/>
      <c r="AV72" s="5">
        <f t="shared" si="51"/>
        <v>0</v>
      </c>
      <c r="AW72" s="6" t="str">
        <f t="shared" si="52"/>
        <v/>
      </c>
      <c r="AX72" s="5">
        <f t="shared" si="53"/>
        <v>0</v>
      </c>
      <c r="AY72" s="5">
        <f t="shared" si="54"/>
        <v>0</v>
      </c>
      <c r="AZ72" s="5">
        <f t="shared" si="55"/>
        <v>0</v>
      </c>
      <c r="BA72" s="6" t="str">
        <f t="shared" si="56"/>
        <v/>
      </c>
    </row>
    <row r="73" spans="1:53" x14ac:dyDescent="0.25">
      <c r="A73" s="3" t="s">
        <v>86</v>
      </c>
      <c r="B73" s="7">
        <f>(((B69)+(B70))+(B71))+(B72)</f>
        <v>188.12</v>
      </c>
      <c r="C73" s="7">
        <f>(((C69)+(C70))+(C71))+(C72)</f>
        <v>766.67</v>
      </c>
      <c r="D73" s="7">
        <f t="shared" si="29"/>
        <v>-578.54999999999995</v>
      </c>
      <c r="E73" s="8">
        <f t="shared" si="30"/>
        <v>0.24537284620501651</v>
      </c>
      <c r="F73" s="7">
        <f>(((F69)+(F70))+(F71))+(F72)</f>
        <v>937.05000000000007</v>
      </c>
      <c r="G73" s="7">
        <f>(((G69)+(G70))+(G71))+(G72)</f>
        <v>766.67</v>
      </c>
      <c r="H73" s="7">
        <f t="shared" si="31"/>
        <v>170.38000000000011</v>
      </c>
      <c r="I73" s="8">
        <f t="shared" si="32"/>
        <v>1.2222338163747115</v>
      </c>
      <c r="J73" s="7">
        <f>(((J69)+(J70))+(J71))+(J72)</f>
        <v>649.58000000000004</v>
      </c>
      <c r="K73" s="7">
        <f>(((K69)+(K70))+(K71))+(K72)</f>
        <v>766.67</v>
      </c>
      <c r="L73" s="7">
        <f t="shared" si="33"/>
        <v>-117.08999999999992</v>
      </c>
      <c r="M73" s="8">
        <f t="shared" si="34"/>
        <v>0.84727457706705633</v>
      </c>
      <c r="N73" s="7">
        <f>(((N69)+(N70))+(N71))+(N72)</f>
        <v>612</v>
      </c>
      <c r="O73" s="7">
        <f>(((O69)+(O70))+(O71))+(O72)</f>
        <v>766.67</v>
      </c>
      <c r="P73" s="7">
        <f t="shared" si="35"/>
        <v>-154.66999999999996</v>
      </c>
      <c r="Q73" s="8">
        <f t="shared" si="36"/>
        <v>0.79825739888087444</v>
      </c>
      <c r="R73" s="7">
        <f>(((R69)+(R70))+(R71))+(R72)</f>
        <v>450</v>
      </c>
      <c r="S73" s="7">
        <f>(((S69)+(S70))+(S71))+(S72)</f>
        <v>766.67</v>
      </c>
      <c r="T73" s="7">
        <f t="shared" si="37"/>
        <v>-316.66999999999996</v>
      </c>
      <c r="U73" s="8">
        <f t="shared" si="38"/>
        <v>0.58695396976534886</v>
      </c>
      <c r="V73" s="7">
        <f>(((V69)+(V70))+(V71))+(V72)</f>
        <v>446.57</v>
      </c>
      <c r="W73" s="7">
        <f>(((W69)+(W70))+(W71))+(W72)</f>
        <v>766.67</v>
      </c>
      <c r="X73" s="7">
        <f t="shared" si="39"/>
        <v>-320.09999999999997</v>
      </c>
      <c r="Y73" s="8">
        <f t="shared" si="40"/>
        <v>0.58248007617358188</v>
      </c>
      <c r="Z73" s="7">
        <f>(((Z69)+(Z70))+(Z71))+(Z72)</f>
        <v>578</v>
      </c>
      <c r="AA73" s="7">
        <f>(((AA69)+(AA70))+(AA71))+(AA72)</f>
        <v>766.67</v>
      </c>
      <c r="AB73" s="7">
        <f t="shared" si="41"/>
        <v>-188.66999999999996</v>
      </c>
      <c r="AC73" s="8">
        <f t="shared" si="42"/>
        <v>0.75390976560971479</v>
      </c>
      <c r="AD73" s="7">
        <f>(((AD69)+(AD70))+(AD71))+(AD72)</f>
        <v>410.65</v>
      </c>
      <c r="AE73" s="7">
        <f>(((AE69)+(AE70))+(AE71))+(AE72)</f>
        <v>766.67</v>
      </c>
      <c r="AF73" s="7">
        <f t="shared" si="43"/>
        <v>-356.02</v>
      </c>
      <c r="AG73" s="8">
        <f t="shared" si="44"/>
        <v>0.53562810596475663</v>
      </c>
      <c r="AH73" s="7">
        <f>(((AH69)+(AH70))+(AH71))+(AH72)</f>
        <v>483.08000000000004</v>
      </c>
      <c r="AI73" s="7">
        <f>(((AI69)+(AI70))+(AI71))+(AI72)</f>
        <v>766.67</v>
      </c>
      <c r="AJ73" s="7">
        <f t="shared" si="45"/>
        <v>-283.58999999999992</v>
      </c>
      <c r="AK73" s="8">
        <f t="shared" si="46"/>
        <v>0.63010160825387729</v>
      </c>
      <c r="AL73" s="7">
        <f>(((AL69)+(AL70))+(AL71))+(AL72)</f>
        <v>1057.31</v>
      </c>
      <c r="AM73" s="7">
        <f>(((AM69)+(AM70))+(AM71))+(AM72)</f>
        <v>766.67</v>
      </c>
      <c r="AN73" s="7">
        <f t="shared" si="47"/>
        <v>290.64</v>
      </c>
      <c r="AO73" s="8">
        <f t="shared" si="48"/>
        <v>1.3790940039391133</v>
      </c>
      <c r="AP73" s="7">
        <f>(((AP69)+(AP70))+(AP71))+(AP72)</f>
        <v>885.46</v>
      </c>
      <c r="AQ73" s="7">
        <f>(((AQ69)+(AQ70))+(AQ71))+(AQ72)</f>
        <v>766.67</v>
      </c>
      <c r="AR73" s="7">
        <f t="shared" si="49"/>
        <v>118.79000000000008</v>
      </c>
      <c r="AS73" s="8">
        <f t="shared" si="50"/>
        <v>1.1549428045965018</v>
      </c>
      <c r="AT73" s="7">
        <f>(((AT69)+(AT70))+(AT71))+(AT72)</f>
        <v>685.11</v>
      </c>
      <c r="AU73" s="7">
        <f>(((AU69)+(AU70))+(AU71))+(AU72)</f>
        <v>766.67</v>
      </c>
      <c r="AV73" s="7">
        <f t="shared" si="51"/>
        <v>-81.559999999999945</v>
      </c>
      <c r="AW73" s="8">
        <f t="shared" si="52"/>
        <v>0.89361785383541814</v>
      </c>
      <c r="AX73" s="7">
        <f t="shared" si="53"/>
        <v>7382.93</v>
      </c>
      <c r="AY73" s="7">
        <f t="shared" si="54"/>
        <v>9200.0399999999991</v>
      </c>
      <c r="AZ73" s="7">
        <f t="shared" si="55"/>
        <v>-1817.1099999999988</v>
      </c>
      <c r="BA73" s="8">
        <f t="shared" si="56"/>
        <v>0.8024889022221644</v>
      </c>
    </row>
    <row r="74" spans="1:53" x14ac:dyDescent="0.25">
      <c r="A74" s="3" t="s">
        <v>87</v>
      </c>
      <c r="B74" s="4"/>
      <c r="C74" s="5">
        <f>500</f>
        <v>500</v>
      </c>
      <c r="D74" s="5">
        <f t="shared" si="29"/>
        <v>-500</v>
      </c>
      <c r="E74" s="6">
        <f t="shared" si="30"/>
        <v>0</v>
      </c>
      <c r="F74" s="4"/>
      <c r="G74" s="5">
        <f>500</f>
        <v>500</v>
      </c>
      <c r="H74" s="5">
        <f t="shared" si="31"/>
        <v>-500</v>
      </c>
      <c r="I74" s="6">
        <f t="shared" si="32"/>
        <v>0</v>
      </c>
      <c r="J74" s="4"/>
      <c r="K74" s="5">
        <f>500</f>
        <v>500</v>
      </c>
      <c r="L74" s="5">
        <f t="shared" si="33"/>
        <v>-500</v>
      </c>
      <c r="M74" s="6">
        <f t="shared" si="34"/>
        <v>0</v>
      </c>
      <c r="N74" s="4"/>
      <c r="O74" s="5">
        <f>500</f>
        <v>500</v>
      </c>
      <c r="P74" s="5">
        <f t="shared" si="35"/>
        <v>-500</v>
      </c>
      <c r="Q74" s="6">
        <f t="shared" si="36"/>
        <v>0</v>
      </c>
      <c r="R74" s="4"/>
      <c r="S74" s="5">
        <f>500</f>
        <v>500</v>
      </c>
      <c r="T74" s="5">
        <f t="shared" si="37"/>
        <v>-500</v>
      </c>
      <c r="U74" s="6">
        <f t="shared" si="38"/>
        <v>0</v>
      </c>
      <c r="V74" s="4"/>
      <c r="W74" s="5">
        <f>500</f>
        <v>500</v>
      </c>
      <c r="X74" s="5">
        <f t="shared" si="39"/>
        <v>-500</v>
      </c>
      <c r="Y74" s="6">
        <f t="shared" si="40"/>
        <v>0</v>
      </c>
      <c r="Z74" s="4"/>
      <c r="AA74" s="5">
        <f>500</f>
        <v>500</v>
      </c>
      <c r="AB74" s="5">
        <f t="shared" si="41"/>
        <v>-500</v>
      </c>
      <c r="AC74" s="6">
        <f t="shared" si="42"/>
        <v>0</v>
      </c>
      <c r="AD74" s="4"/>
      <c r="AE74" s="5">
        <f>500</f>
        <v>500</v>
      </c>
      <c r="AF74" s="5">
        <f t="shared" si="43"/>
        <v>-500</v>
      </c>
      <c r="AG74" s="6">
        <f t="shared" si="44"/>
        <v>0</v>
      </c>
      <c r="AH74" s="4"/>
      <c r="AI74" s="5">
        <f>500</f>
        <v>500</v>
      </c>
      <c r="AJ74" s="5">
        <f t="shared" si="45"/>
        <v>-500</v>
      </c>
      <c r="AK74" s="6">
        <f t="shared" si="46"/>
        <v>0</v>
      </c>
      <c r="AL74" s="4"/>
      <c r="AM74" s="5">
        <f>500</f>
        <v>500</v>
      </c>
      <c r="AN74" s="5">
        <f t="shared" si="47"/>
        <v>-500</v>
      </c>
      <c r="AO74" s="6">
        <f t="shared" si="48"/>
        <v>0</v>
      </c>
      <c r="AP74" s="4"/>
      <c r="AQ74" s="5">
        <f>500</f>
        <v>500</v>
      </c>
      <c r="AR74" s="5">
        <f t="shared" si="49"/>
        <v>-500</v>
      </c>
      <c r="AS74" s="6">
        <f t="shared" si="50"/>
        <v>0</v>
      </c>
      <c r="AT74" s="4"/>
      <c r="AU74" s="5">
        <f>500</f>
        <v>500</v>
      </c>
      <c r="AV74" s="5">
        <f t="shared" si="51"/>
        <v>-500</v>
      </c>
      <c r="AW74" s="6">
        <f t="shared" si="52"/>
        <v>0</v>
      </c>
      <c r="AX74" s="5">
        <f t="shared" si="53"/>
        <v>0</v>
      </c>
      <c r="AY74" s="5">
        <f t="shared" si="54"/>
        <v>6000</v>
      </c>
      <c r="AZ74" s="5">
        <f t="shared" si="55"/>
        <v>-6000</v>
      </c>
      <c r="BA74" s="6">
        <f t="shared" si="56"/>
        <v>0</v>
      </c>
    </row>
    <row r="75" spans="1:53" x14ac:dyDescent="0.25">
      <c r="A75" s="3" t="s">
        <v>88</v>
      </c>
      <c r="B75" s="4"/>
      <c r="C75" s="4"/>
      <c r="D75" s="5">
        <f t="shared" si="29"/>
        <v>0</v>
      </c>
      <c r="E75" s="6" t="str">
        <f t="shared" si="30"/>
        <v/>
      </c>
      <c r="F75" s="4"/>
      <c r="G75" s="4"/>
      <c r="H75" s="5">
        <f t="shared" si="31"/>
        <v>0</v>
      </c>
      <c r="I75" s="6" t="str">
        <f t="shared" si="32"/>
        <v/>
      </c>
      <c r="J75" s="4"/>
      <c r="K75" s="4"/>
      <c r="L75" s="5">
        <f t="shared" si="33"/>
        <v>0</v>
      </c>
      <c r="M75" s="6" t="str">
        <f t="shared" si="34"/>
        <v/>
      </c>
      <c r="N75" s="5">
        <f>2184</f>
        <v>2184</v>
      </c>
      <c r="O75" s="4"/>
      <c r="P75" s="5">
        <f t="shared" si="35"/>
        <v>2184</v>
      </c>
      <c r="Q75" s="6" t="str">
        <f t="shared" si="36"/>
        <v/>
      </c>
      <c r="R75" s="5">
        <f>0</f>
        <v>0</v>
      </c>
      <c r="S75" s="4"/>
      <c r="T75" s="5">
        <f t="shared" si="37"/>
        <v>0</v>
      </c>
      <c r="U75" s="6" t="str">
        <f t="shared" si="38"/>
        <v/>
      </c>
      <c r="V75" s="5">
        <f>286</f>
        <v>286</v>
      </c>
      <c r="W75" s="4"/>
      <c r="X75" s="5">
        <f t="shared" si="39"/>
        <v>286</v>
      </c>
      <c r="Y75" s="6" t="str">
        <f t="shared" si="40"/>
        <v/>
      </c>
      <c r="Z75" s="4"/>
      <c r="AA75" s="4"/>
      <c r="AB75" s="5">
        <f t="shared" si="41"/>
        <v>0</v>
      </c>
      <c r="AC75" s="6" t="str">
        <f t="shared" si="42"/>
        <v/>
      </c>
      <c r="AD75" s="4"/>
      <c r="AE75" s="4"/>
      <c r="AF75" s="5">
        <f t="shared" si="43"/>
        <v>0</v>
      </c>
      <c r="AG75" s="6" t="str">
        <f t="shared" si="44"/>
        <v/>
      </c>
      <c r="AH75" s="4"/>
      <c r="AI75" s="4"/>
      <c r="AJ75" s="5">
        <f t="shared" si="45"/>
        <v>0</v>
      </c>
      <c r="AK75" s="6" t="str">
        <f t="shared" si="46"/>
        <v/>
      </c>
      <c r="AL75" s="4"/>
      <c r="AM75" s="4"/>
      <c r="AN75" s="5">
        <f t="shared" si="47"/>
        <v>0</v>
      </c>
      <c r="AO75" s="6" t="str">
        <f t="shared" si="48"/>
        <v/>
      </c>
      <c r="AP75" s="4"/>
      <c r="AQ75" s="4"/>
      <c r="AR75" s="5">
        <f t="shared" si="49"/>
        <v>0</v>
      </c>
      <c r="AS75" s="6" t="str">
        <f t="shared" si="50"/>
        <v/>
      </c>
      <c r="AT75" s="4"/>
      <c r="AU75" s="4"/>
      <c r="AV75" s="5">
        <f t="shared" si="51"/>
        <v>0</v>
      </c>
      <c r="AW75" s="6" t="str">
        <f t="shared" si="52"/>
        <v/>
      </c>
      <c r="AX75" s="5">
        <f t="shared" si="53"/>
        <v>2470</v>
      </c>
      <c r="AY75" s="5">
        <f t="shared" si="54"/>
        <v>0</v>
      </c>
      <c r="AZ75" s="5">
        <f t="shared" si="55"/>
        <v>2470</v>
      </c>
      <c r="BA75" s="6" t="str">
        <f t="shared" si="56"/>
        <v/>
      </c>
    </row>
    <row r="76" spans="1:53" x14ac:dyDescent="0.25">
      <c r="A76" s="3" t="s">
        <v>89</v>
      </c>
      <c r="B76" s="4"/>
      <c r="C76" s="4"/>
      <c r="D76" s="5">
        <f t="shared" si="29"/>
        <v>0</v>
      </c>
      <c r="E76" s="6" t="str">
        <f t="shared" si="30"/>
        <v/>
      </c>
      <c r="F76" s="4"/>
      <c r="G76" s="4"/>
      <c r="H76" s="5">
        <f t="shared" si="31"/>
        <v>0</v>
      </c>
      <c r="I76" s="6" t="str">
        <f t="shared" si="32"/>
        <v/>
      </c>
      <c r="J76" s="4"/>
      <c r="K76" s="4"/>
      <c r="L76" s="5">
        <f t="shared" si="33"/>
        <v>0</v>
      </c>
      <c r="M76" s="6" t="str">
        <f t="shared" si="34"/>
        <v/>
      </c>
      <c r="N76" s="5">
        <f>1176</f>
        <v>1176</v>
      </c>
      <c r="O76" s="4"/>
      <c r="P76" s="5">
        <f t="shared" si="35"/>
        <v>1176</v>
      </c>
      <c r="Q76" s="6" t="str">
        <f t="shared" si="36"/>
        <v/>
      </c>
      <c r="R76" s="5">
        <f>0</f>
        <v>0</v>
      </c>
      <c r="S76" s="4"/>
      <c r="T76" s="5">
        <f t="shared" si="37"/>
        <v>0</v>
      </c>
      <c r="U76" s="6" t="str">
        <f t="shared" si="38"/>
        <v/>
      </c>
      <c r="V76" s="5">
        <f>154</f>
        <v>154</v>
      </c>
      <c r="W76" s="4"/>
      <c r="X76" s="5">
        <f t="shared" si="39"/>
        <v>154</v>
      </c>
      <c r="Y76" s="6" t="str">
        <f t="shared" si="40"/>
        <v/>
      </c>
      <c r="Z76" s="4"/>
      <c r="AA76" s="4"/>
      <c r="AB76" s="5">
        <f t="shared" si="41"/>
        <v>0</v>
      </c>
      <c r="AC76" s="6" t="str">
        <f t="shared" si="42"/>
        <v/>
      </c>
      <c r="AD76" s="4"/>
      <c r="AE76" s="4"/>
      <c r="AF76" s="5">
        <f t="shared" si="43"/>
        <v>0</v>
      </c>
      <c r="AG76" s="6" t="str">
        <f t="shared" si="44"/>
        <v/>
      </c>
      <c r="AH76" s="4"/>
      <c r="AI76" s="4"/>
      <c r="AJ76" s="5">
        <f t="shared" si="45"/>
        <v>0</v>
      </c>
      <c r="AK76" s="6" t="str">
        <f t="shared" si="46"/>
        <v/>
      </c>
      <c r="AL76" s="4"/>
      <c r="AM76" s="4"/>
      <c r="AN76" s="5">
        <f t="shared" si="47"/>
        <v>0</v>
      </c>
      <c r="AO76" s="6" t="str">
        <f t="shared" si="48"/>
        <v/>
      </c>
      <c r="AP76" s="4"/>
      <c r="AQ76" s="4"/>
      <c r="AR76" s="5">
        <f t="shared" si="49"/>
        <v>0</v>
      </c>
      <c r="AS76" s="6" t="str">
        <f t="shared" si="50"/>
        <v/>
      </c>
      <c r="AT76" s="4"/>
      <c r="AU76" s="4"/>
      <c r="AV76" s="5">
        <f t="shared" si="51"/>
        <v>0</v>
      </c>
      <c r="AW76" s="6" t="str">
        <f t="shared" si="52"/>
        <v/>
      </c>
      <c r="AX76" s="5">
        <f t="shared" si="53"/>
        <v>1330</v>
      </c>
      <c r="AY76" s="5">
        <f t="shared" si="54"/>
        <v>0</v>
      </c>
      <c r="AZ76" s="5">
        <f t="shared" si="55"/>
        <v>1330</v>
      </c>
      <c r="BA76" s="6" t="str">
        <f t="shared" si="56"/>
        <v/>
      </c>
    </row>
    <row r="77" spans="1:53" x14ac:dyDescent="0.25">
      <c r="A77" s="3" t="s">
        <v>90</v>
      </c>
      <c r="B77" s="4"/>
      <c r="C77" s="4"/>
      <c r="D77" s="5">
        <f t="shared" si="29"/>
        <v>0</v>
      </c>
      <c r="E77" s="6" t="str">
        <f t="shared" si="30"/>
        <v/>
      </c>
      <c r="F77" s="4"/>
      <c r="G77" s="4"/>
      <c r="H77" s="5">
        <f t="shared" si="31"/>
        <v>0</v>
      </c>
      <c r="I77" s="6" t="str">
        <f t="shared" si="32"/>
        <v/>
      </c>
      <c r="J77" s="4"/>
      <c r="K77" s="4"/>
      <c r="L77" s="5">
        <f t="shared" si="33"/>
        <v>0</v>
      </c>
      <c r="M77" s="6" t="str">
        <f t="shared" si="34"/>
        <v/>
      </c>
      <c r="N77" s="5">
        <f>0</f>
        <v>0</v>
      </c>
      <c r="O77" s="4"/>
      <c r="P77" s="5">
        <f t="shared" si="35"/>
        <v>0</v>
      </c>
      <c r="Q77" s="6" t="str">
        <f t="shared" si="36"/>
        <v/>
      </c>
      <c r="R77" s="5">
        <f>0</f>
        <v>0</v>
      </c>
      <c r="S77" s="4"/>
      <c r="T77" s="5">
        <f t="shared" si="37"/>
        <v>0</v>
      </c>
      <c r="U77" s="6" t="str">
        <f t="shared" si="38"/>
        <v/>
      </c>
      <c r="V77" s="5">
        <f>0</f>
        <v>0</v>
      </c>
      <c r="W77" s="4"/>
      <c r="X77" s="5">
        <f t="shared" si="39"/>
        <v>0</v>
      </c>
      <c r="Y77" s="6" t="str">
        <f t="shared" si="40"/>
        <v/>
      </c>
      <c r="Z77" s="4"/>
      <c r="AA77" s="4"/>
      <c r="AB77" s="5">
        <f t="shared" si="41"/>
        <v>0</v>
      </c>
      <c r="AC77" s="6" t="str">
        <f t="shared" si="42"/>
        <v/>
      </c>
      <c r="AD77" s="4"/>
      <c r="AE77" s="4"/>
      <c r="AF77" s="5">
        <f t="shared" si="43"/>
        <v>0</v>
      </c>
      <c r="AG77" s="6" t="str">
        <f t="shared" si="44"/>
        <v/>
      </c>
      <c r="AH77" s="4"/>
      <c r="AI77" s="4"/>
      <c r="AJ77" s="5">
        <f t="shared" si="45"/>
        <v>0</v>
      </c>
      <c r="AK77" s="6" t="str">
        <f t="shared" si="46"/>
        <v/>
      </c>
      <c r="AL77" s="4"/>
      <c r="AM77" s="4"/>
      <c r="AN77" s="5">
        <f t="shared" si="47"/>
        <v>0</v>
      </c>
      <c r="AO77" s="6" t="str">
        <f t="shared" si="48"/>
        <v/>
      </c>
      <c r="AP77" s="4"/>
      <c r="AQ77" s="4"/>
      <c r="AR77" s="5">
        <f t="shared" si="49"/>
        <v>0</v>
      </c>
      <c r="AS77" s="6" t="str">
        <f t="shared" si="50"/>
        <v/>
      </c>
      <c r="AT77" s="4"/>
      <c r="AU77" s="4"/>
      <c r="AV77" s="5">
        <f t="shared" si="51"/>
        <v>0</v>
      </c>
      <c r="AW77" s="6" t="str">
        <f t="shared" si="52"/>
        <v/>
      </c>
      <c r="AX77" s="5">
        <f t="shared" si="53"/>
        <v>0</v>
      </c>
      <c r="AY77" s="5">
        <f t="shared" si="54"/>
        <v>0</v>
      </c>
      <c r="AZ77" s="5">
        <f t="shared" si="55"/>
        <v>0</v>
      </c>
      <c r="BA77" s="6" t="str">
        <f t="shared" si="56"/>
        <v/>
      </c>
    </row>
    <row r="78" spans="1:53" x14ac:dyDescent="0.25">
      <c r="A78" s="3" t="s">
        <v>91</v>
      </c>
      <c r="B78" s="7">
        <f>(((B74)+(B75))+(B76))+(B77)</f>
        <v>0</v>
      </c>
      <c r="C78" s="7">
        <f>(((C74)+(C75))+(C76))+(C77)</f>
        <v>500</v>
      </c>
      <c r="D78" s="7">
        <f t="shared" ref="D78:D109" si="57">(B78)-(C78)</f>
        <v>-500</v>
      </c>
      <c r="E78" s="8">
        <f t="shared" ref="E78:E109" si="58">IF(C78=0,"",(B78)/(C78))</f>
        <v>0</v>
      </c>
      <c r="F78" s="7">
        <f>(((F74)+(F75))+(F76))+(F77)</f>
        <v>0</v>
      </c>
      <c r="G78" s="7">
        <f>(((G74)+(G75))+(G76))+(G77)</f>
        <v>500</v>
      </c>
      <c r="H78" s="7">
        <f t="shared" ref="H78:H109" si="59">(F78)-(G78)</f>
        <v>-500</v>
      </c>
      <c r="I78" s="8">
        <f t="shared" ref="I78:I109" si="60">IF(G78=0,"",(F78)/(G78))</f>
        <v>0</v>
      </c>
      <c r="J78" s="7">
        <f>(((J74)+(J75))+(J76))+(J77)</f>
        <v>0</v>
      </c>
      <c r="K78" s="7">
        <f>(((K74)+(K75))+(K76))+(K77)</f>
        <v>500</v>
      </c>
      <c r="L78" s="7">
        <f t="shared" ref="L78:L109" si="61">(J78)-(K78)</f>
        <v>-500</v>
      </c>
      <c r="M78" s="8">
        <f t="shared" ref="M78:M109" si="62">IF(K78=0,"",(J78)/(K78))</f>
        <v>0</v>
      </c>
      <c r="N78" s="7">
        <f>(((N74)+(N75))+(N76))+(N77)</f>
        <v>3360</v>
      </c>
      <c r="O78" s="7">
        <f>(((O74)+(O75))+(O76))+(O77)</f>
        <v>500</v>
      </c>
      <c r="P78" s="7">
        <f t="shared" ref="P78:P109" si="63">(N78)-(O78)</f>
        <v>2860</v>
      </c>
      <c r="Q78" s="8">
        <f t="shared" ref="Q78:Q109" si="64">IF(O78=0,"",(N78)/(O78))</f>
        <v>6.72</v>
      </c>
      <c r="R78" s="7">
        <f>(((R74)+(R75))+(R76))+(R77)</f>
        <v>0</v>
      </c>
      <c r="S78" s="7">
        <f>(((S74)+(S75))+(S76))+(S77)</f>
        <v>500</v>
      </c>
      <c r="T78" s="7">
        <f t="shared" ref="T78:T109" si="65">(R78)-(S78)</f>
        <v>-500</v>
      </c>
      <c r="U78" s="8">
        <f t="shared" ref="U78:U109" si="66">IF(S78=0,"",(R78)/(S78))</f>
        <v>0</v>
      </c>
      <c r="V78" s="7">
        <f>(((V74)+(V75))+(V76))+(V77)</f>
        <v>440</v>
      </c>
      <c r="W78" s="7">
        <f>(((W74)+(W75))+(W76))+(W77)</f>
        <v>500</v>
      </c>
      <c r="X78" s="7">
        <f t="shared" ref="X78:X109" si="67">(V78)-(W78)</f>
        <v>-60</v>
      </c>
      <c r="Y78" s="8">
        <f t="shared" ref="Y78:Y109" si="68">IF(W78=0,"",(V78)/(W78))</f>
        <v>0.88</v>
      </c>
      <c r="Z78" s="7">
        <f>(((Z74)+(Z75))+(Z76))+(Z77)</f>
        <v>0</v>
      </c>
      <c r="AA78" s="7">
        <f>(((AA74)+(AA75))+(AA76))+(AA77)</f>
        <v>500</v>
      </c>
      <c r="AB78" s="7">
        <f t="shared" ref="AB78:AB109" si="69">(Z78)-(AA78)</f>
        <v>-500</v>
      </c>
      <c r="AC78" s="8">
        <f t="shared" ref="AC78:AC109" si="70">IF(AA78=0,"",(Z78)/(AA78))</f>
        <v>0</v>
      </c>
      <c r="AD78" s="7">
        <f>(((AD74)+(AD75))+(AD76))+(AD77)</f>
        <v>0</v>
      </c>
      <c r="AE78" s="7">
        <f>(((AE74)+(AE75))+(AE76))+(AE77)</f>
        <v>500</v>
      </c>
      <c r="AF78" s="7">
        <f t="shared" ref="AF78:AF109" si="71">(AD78)-(AE78)</f>
        <v>-500</v>
      </c>
      <c r="AG78" s="8">
        <f t="shared" ref="AG78:AG109" si="72">IF(AE78=0,"",(AD78)/(AE78))</f>
        <v>0</v>
      </c>
      <c r="AH78" s="7">
        <f>(((AH74)+(AH75))+(AH76))+(AH77)</f>
        <v>0</v>
      </c>
      <c r="AI78" s="7">
        <f>(((AI74)+(AI75))+(AI76))+(AI77)</f>
        <v>500</v>
      </c>
      <c r="AJ78" s="7">
        <f t="shared" ref="AJ78:AJ109" si="73">(AH78)-(AI78)</f>
        <v>-500</v>
      </c>
      <c r="AK78" s="8">
        <f t="shared" ref="AK78:AK109" si="74">IF(AI78=0,"",(AH78)/(AI78))</f>
        <v>0</v>
      </c>
      <c r="AL78" s="7">
        <f>(((AL74)+(AL75))+(AL76))+(AL77)</f>
        <v>0</v>
      </c>
      <c r="AM78" s="7">
        <f>(((AM74)+(AM75))+(AM76))+(AM77)</f>
        <v>500</v>
      </c>
      <c r="AN78" s="7">
        <f t="shared" ref="AN78:AN109" si="75">(AL78)-(AM78)</f>
        <v>-500</v>
      </c>
      <c r="AO78" s="8">
        <f t="shared" ref="AO78:AO109" si="76">IF(AM78=0,"",(AL78)/(AM78))</f>
        <v>0</v>
      </c>
      <c r="AP78" s="7">
        <f>(((AP74)+(AP75))+(AP76))+(AP77)</f>
        <v>0</v>
      </c>
      <c r="AQ78" s="7">
        <f>(((AQ74)+(AQ75))+(AQ76))+(AQ77)</f>
        <v>500</v>
      </c>
      <c r="AR78" s="7">
        <f t="shared" ref="AR78:AR109" si="77">(AP78)-(AQ78)</f>
        <v>-500</v>
      </c>
      <c r="AS78" s="8">
        <f t="shared" ref="AS78:AS109" si="78">IF(AQ78=0,"",(AP78)/(AQ78))</f>
        <v>0</v>
      </c>
      <c r="AT78" s="7">
        <f>(((AT74)+(AT75))+(AT76))+(AT77)</f>
        <v>0</v>
      </c>
      <c r="AU78" s="7">
        <f>(((AU74)+(AU75))+(AU76))+(AU77)</f>
        <v>500</v>
      </c>
      <c r="AV78" s="7">
        <f t="shared" ref="AV78:AV109" si="79">(AT78)-(AU78)</f>
        <v>-500</v>
      </c>
      <c r="AW78" s="8">
        <f t="shared" ref="AW78:AW109" si="80">IF(AU78=0,"",(AT78)/(AU78))</f>
        <v>0</v>
      </c>
      <c r="AX78" s="7">
        <f t="shared" ref="AX78:AX109" si="81">(((((((((((B78)+(F78))+(J78))+(N78))+(R78))+(V78))+(Z78))+(AD78))+(AH78))+(AL78))+(AP78))+(AT78)</f>
        <v>3800</v>
      </c>
      <c r="AY78" s="7">
        <f t="shared" ref="AY78:AY109" si="82">(((((((((((C78)+(G78))+(K78))+(O78))+(S78))+(W78))+(AA78))+(AE78))+(AI78))+(AM78))+(AQ78))+(AU78)</f>
        <v>6000</v>
      </c>
      <c r="AZ78" s="7">
        <f t="shared" ref="AZ78:AZ109" si="83">(AX78)-(AY78)</f>
        <v>-2200</v>
      </c>
      <c r="BA78" s="8">
        <f t="shared" ref="BA78:BA109" si="84">IF(AY78=0,"",(AX78)/(AY78))</f>
        <v>0.6333333333333333</v>
      </c>
    </row>
    <row r="79" spans="1:53" x14ac:dyDescent="0.25">
      <c r="A79" s="3" t="s">
        <v>92</v>
      </c>
      <c r="B79" s="4"/>
      <c r="C79" s="5">
        <f>366.08</f>
        <v>366.08</v>
      </c>
      <c r="D79" s="5">
        <f t="shared" si="57"/>
        <v>-366.08</v>
      </c>
      <c r="E79" s="6">
        <f t="shared" si="58"/>
        <v>0</v>
      </c>
      <c r="F79" s="4"/>
      <c r="G79" s="5">
        <f>366.08</f>
        <v>366.08</v>
      </c>
      <c r="H79" s="5">
        <f t="shared" si="59"/>
        <v>-366.08</v>
      </c>
      <c r="I79" s="6">
        <f t="shared" si="60"/>
        <v>0</v>
      </c>
      <c r="J79" s="4"/>
      <c r="K79" s="5">
        <f>366.08</f>
        <v>366.08</v>
      </c>
      <c r="L79" s="5">
        <f t="shared" si="61"/>
        <v>-366.08</v>
      </c>
      <c r="M79" s="6">
        <f t="shared" si="62"/>
        <v>0</v>
      </c>
      <c r="N79" s="4"/>
      <c r="O79" s="5">
        <f>366.08</f>
        <v>366.08</v>
      </c>
      <c r="P79" s="5">
        <f t="shared" si="63"/>
        <v>-366.08</v>
      </c>
      <c r="Q79" s="6">
        <f t="shared" si="64"/>
        <v>0</v>
      </c>
      <c r="R79" s="4"/>
      <c r="S79" s="5">
        <f>366.08</f>
        <v>366.08</v>
      </c>
      <c r="T79" s="5">
        <f t="shared" si="65"/>
        <v>-366.08</v>
      </c>
      <c r="U79" s="6">
        <f t="shared" si="66"/>
        <v>0</v>
      </c>
      <c r="V79" s="4"/>
      <c r="W79" s="5">
        <f>366.08</f>
        <v>366.08</v>
      </c>
      <c r="X79" s="5">
        <f t="shared" si="67"/>
        <v>-366.08</v>
      </c>
      <c r="Y79" s="6">
        <f t="shared" si="68"/>
        <v>0</v>
      </c>
      <c r="Z79" s="4"/>
      <c r="AA79" s="5">
        <f>366.08</f>
        <v>366.08</v>
      </c>
      <c r="AB79" s="5">
        <f t="shared" si="69"/>
        <v>-366.08</v>
      </c>
      <c r="AC79" s="6">
        <f t="shared" si="70"/>
        <v>0</v>
      </c>
      <c r="AD79" s="4"/>
      <c r="AE79" s="5">
        <f>366.08</f>
        <v>366.08</v>
      </c>
      <c r="AF79" s="5">
        <f t="shared" si="71"/>
        <v>-366.08</v>
      </c>
      <c r="AG79" s="6">
        <f t="shared" si="72"/>
        <v>0</v>
      </c>
      <c r="AH79" s="4"/>
      <c r="AI79" s="5">
        <f>366.08</f>
        <v>366.08</v>
      </c>
      <c r="AJ79" s="5">
        <f t="shared" si="73"/>
        <v>-366.08</v>
      </c>
      <c r="AK79" s="6">
        <f t="shared" si="74"/>
        <v>0</v>
      </c>
      <c r="AL79" s="4"/>
      <c r="AM79" s="5">
        <f>366.08</f>
        <v>366.08</v>
      </c>
      <c r="AN79" s="5">
        <f t="shared" si="75"/>
        <v>-366.08</v>
      </c>
      <c r="AO79" s="6">
        <f t="shared" si="76"/>
        <v>0</v>
      </c>
      <c r="AP79" s="4"/>
      <c r="AQ79" s="5">
        <f>366.08</f>
        <v>366.08</v>
      </c>
      <c r="AR79" s="5">
        <f t="shared" si="77"/>
        <v>-366.08</v>
      </c>
      <c r="AS79" s="6">
        <f t="shared" si="78"/>
        <v>0</v>
      </c>
      <c r="AT79" s="4"/>
      <c r="AU79" s="5">
        <f>366.08</f>
        <v>366.08</v>
      </c>
      <c r="AV79" s="5">
        <f t="shared" si="79"/>
        <v>-366.08</v>
      </c>
      <c r="AW79" s="6">
        <f t="shared" si="80"/>
        <v>0</v>
      </c>
      <c r="AX79" s="5">
        <f t="shared" si="81"/>
        <v>0</v>
      </c>
      <c r="AY79" s="5">
        <f t="shared" si="82"/>
        <v>4392.96</v>
      </c>
      <c r="AZ79" s="5">
        <f t="shared" si="83"/>
        <v>-4392.96</v>
      </c>
      <c r="BA79" s="6">
        <f t="shared" si="84"/>
        <v>0</v>
      </c>
    </row>
    <row r="80" spans="1:53" x14ac:dyDescent="0.25">
      <c r="A80" s="3" t="s">
        <v>93</v>
      </c>
      <c r="B80" s="5">
        <f>78.03</f>
        <v>78.03</v>
      </c>
      <c r="C80" s="4"/>
      <c r="D80" s="5">
        <f t="shared" si="57"/>
        <v>78.03</v>
      </c>
      <c r="E80" s="6" t="str">
        <f t="shared" si="58"/>
        <v/>
      </c>
      <c r="F80" s="5">
        <f>117.73</f>
        <v>117.73</v>
      </c>
      <c r="G80" s="4"/>
      <c r="H80" s="5">
        <f t="shared" si="59"/>
        <v>117.73</v>
      </c>
      <c r="I80" s="6" t="str">
        <f t="shared" si="60"/>
        <v/>
      </c>
      <c r="J80" s="5">
        <f>111.05</f>
        <v>111.05</v>
      </c>
      <c r="K80" s="4"/>
      <c r="L80" s="5">
        <f t="shared" si="61"/>
        <v>111.05</v>
      </c>
      <c r="M80" s="6" t="str">
        <f t="shared" si="62"/>
        <v/>
      </c>
      <c r="N80" s="5">
        <f>150.8</f>
        <v>150.80000000000001</v>
      </c>
      <c r="O80" s="4"/>
      <c r="P80" s="5">
        <f t="shared" si="63"/>
        <v>150.80000000000001</v>
      </c>
      <c r="Q80" s="6" t="str">
        <f t="shared" si="64"/>
        <v/>
      </c>
      <c r="R80" s="5">
        <f>141.08</f>
        <v>141.08000000000001</v>
      </c>
      <c r="S80" s="4"/>
      <c r="T80" s="5">
        <f t="shared" si="65"/>
        <v>141.08000000000001</v>
      </c>
      <c r="U80" s="6" t="str">
        <f t="shared" si="66"/>
        <v/>
      </c>
      <c r="V80" s="5">
        <f>431.6</f>
        <v>431.6</v>
      </c>
      <c r="W80" s="4"/>
      <c r="X80" s="5">
        <f t="shared" si="67"/>
        <v>431.6</v>
      </c>
      <c r="Y80" s="6" t="str">
        <f t="shared" si="68"/>
        <v/>
      </c>
      <c r="Z80" s="5">
        <f>145.94</f>
        <v>145.94</v>
      </c>
      <c r="AA80" s="4"/>
      <c r="AB80" s="5">
        <f t="shared" si="69"/>
        <v>145.94</v>
      </c>
      <c r="AC80" s="6" t="str">
        <f t="shared" si="70"/>
        <v/>
      </c>
      <c r="AD80" s="5">
        <f>81.04</f>
        <v>81.040000000000006</v>
      </c>
      <c r="AE80" s="4"/>
      <c r="AF80" s="5">
        <f t="shared" si="71"/>
        <v>81.040000000000006</v>
      </c>
      <c r="AG80" s="6" t="str">
        <f t="shared" si="72"/>
        <v/>
      </c>
      <c r="AH80" s="5">
        <f>100.44</f>
        <v>100.44</v>
      </c>
      <c r="AI80" s="4"/>
      <c r="AJ80" s="5">
        <f t="shared" si="73"/>
        <v>100.44</v>
      </c>
      <c r="AK80" s="6" t="str">
        <f t="shared" si="74"/>
        <v/>
      </c>
      <c r="AL80" s="5">
        <f>103.79</f>
        <v>103.79</v>
      </c>
      <c r="AM80" s="4"/>
      <c r="AN80" s="5">
        <f t="shared" si="75"/>
        <v>103.79</v>
      </c>
      <c r="AO80" s="6" t="str">
        <f t="shared" si="76"/>
        <v/>
      </c>
      <c r="AP80" s="5">
        <f>103.79</f>
        <v>103.79</v>
      </c>
      <c r="AQ80" s="4"/>
      <c r="AR80" s="5">
        <f t="shared" si="77"/>
        <v>103.79</v>
      </c>
      <c r="AS80" s="6" t="str">
        <f t="shared" si="78"/>
        <v/>
      </c>
      <c r="AT80" s="5">
        <f>98.38</f>
        <v>98.38</v>
      </c>
      <c r="AU80" s="4"/>
      <c r="AV80" s="5">
        <f t="shared" si="79"/>
        <v>98.38</v>
      </c>
      <c r="AW80" s="6" t="str">
        <f t="shared" si="80"/>
        <v/>
      </c>
      <c r="AX80" s="5">
        <f t="shared" si="81"/>
        <v>1663.67</v>
      </c>
      <c r="AY80" s="5">
        <f t="shared" si="82"/>
        <v>0</v>
      </c>
      <c r="AZ80" s="5">
        <f t="shared" si="83"/>
        <v>1663.67</v>
      </c>
      <c r="BA80" s="6" t="str">
        <f t="shared" si="84"/>
        <v/>
      </c>
    </row>
    <row r="81" spans="1:53" x14ac:dyDescent="0.25">
      <c r="A81" s="3" t="s">
        <v>94</v>
      </c>
      <c r="B81" s="5">
        <f>42.02</f>
        <v>42.02</v>
      </c>
      <c r="C81" s="4"/>
      <c r="D81" s="5">
        <f t="shared" si="57"/>
        <v>42.02</v>
      </c>
      <c r="E81" s="6" t="str">
        <f t="shared" si="58"/>
        <v/>
      </c>
      <c r="F81" s="5">
        <f>63.4</f>
        <v>63.4</v>
      </c>
      <c r="G81" s="4"/>
      <c r="H81" s="5">
        <f t="shared" si="59"/>
        <v>63.4</v>
      </c>
      <c r="I81" s="6" t="str">
        <f t="shared" si="60"/>
        <v/>
      </c>
      <c r="J81" s="5">
        <f>59.8</f>
        <v>59.8</v>
      </c>
      <c r="K81" s="4"/>
      <c r="L81" s="5">
        <f t="shared" si="61"/>
        <v>59.8</v>
      </c>
      <c r="M81" s="6" t="str">
        <f t="shared" si="62"/>
        <v/>
      </c>
      <c r="N81" s="5">
        <f>81.2</f>
        <v>81.2</v>
      </c>
      <c r="O81" s="4"/>
      <c r="P81" s="5">
        <f t="shared" si="63"/>
        <v>81.2</v>
      </c>
      <c r="Q81" s="6" t="str">
        <f t="shared" si="64"/>
        <v/>
      </c>
      <c r="R81" s="5">
        <f>75.97</f>
        <v>75.97</v>
      </c>
      <c r="S81" s="4"/>
      <c r="T81" s="5">
        <f t="shared" si="65"/>
        <v>75.97</v>
      </c>
      <c r="U81" s="6" t="str">
        <f t="shared" si="66"/>
        <v/>
      </c>
      <c r="V81" s="5">
        <f>232.4</f>
        <v>232.4</v>
      </c>
      <c r="W81" s="4"/>
      <c r="X81" s="5">
        <f t="shared" si="67"/>
        <v>232.4</v>
      </c>
      <c r="Y81" s="6" t="str">
        <f t="shared" si="68"/>
        <v/>
      </c>
      <c r="Z81" s="5">
        <f>78.58</f>
        <v>78.58</v>
      </c>
      <c r="AA81" s="4"/>
      <c r="AB81" s="5">
        <f t="shared" si="69"/>
        <v>78.58</v>
      </c>
      <c r="AC81" s="6" t="str">
        <f t="shared" si="70"/>
        <v/>
      </c>
      <c r="AD81" s="5">
        <f>43.63</f>
        <v>43.63</v>
      </c>
      <c r="AE81" s="4"/>
      <c r="AF81" s="5">
        <f t="shared" si="71"/>
        <v>43.63</v>
      </c>
      <c r="AG81" s="6" t="str">
        <f t="shared" si="72"/>
        <v/>
      </c>
      <c r="AH81" s="5">
        <f>54.08</f>
        <v>54.08</v>
      </c>
      <c r="AI81" s="4"/>
      <c r="AJ81" s="5">
        <f t="shared" si="73"/>
        <v>54.08</v>
      </c>
      <c r="AK81" s="6" t="str">
        <f t="shared" si="74"/>
        <v/>
      </c>
      <c r="AL81" s="5">
        <f>55.88</f>
        <v>55.88</v>
      </c>
      <c r="AM81" s="4"/>
      <c r="AN81" s="5">
        <f t="shared" si="75"/>
        <v>55.88</v>
      </c>
      <c r="AO81" s="6" t="str">
        <f t="shared" si="76"/>
        <v/>
      </c>
      <c r="AP81" s="5">
        <f>55.88</f>
        <v>55.88</v>
      </c>
      <c r="AQ81" s="4"/>
      <c r="AR81" s="5">
        <f t="shared" si="77"/>
        <v>55.88</v>
      </c>
      <c r="AS81" s="6" t="str">
        <f t="shared" si="78"/>
        <v/>
      </c>
      <c r="AT81" s="5">
        <f>52.97</f>
        <v>52.97</v>
      </c>
      <c r="AU81" s="4"/>
      <c r="AV81" s="5">
        <f t="shared" si="79"/>
        <v>52.97</v>
      </c>
      <c r="AW81" s="6" t="str">
        <f t="shared" si="80"/>
        <v/>
      </c>
      <c r="AX81" s="5">
        <f t="shared" si="81"/>
        <v>895.81000000000006</v>
      </c>
      <c r="AY81" s="5">
        <f t="shared" si="82"/>
        <v>0</v>
      </c>
      <c r="AZ81" s="5">
        <f t="shared" si="83"/>
        <v>895.81000000000006</v>
      </c>
      <c r="BA81" s="6" t="str">
        <f t="shared" si="84"/>
        <v/>
      </c>
    </row>
    <row r="82" spans="1:53" x14ac:dyDescent="0.25">
      <c r="A82" s="3" t="s">
        <v>95</v>
      </c>
      <c r="B82" s="5">
        <f>0</f>
        <v>0</v>
      </c>
      <c r="C82" s="4"/>
      <c r="D82" s="5">
        <f t="shared" si="57"/>
        <v>0</v>
      </c>
      <c r="E82" s="6" t="str">
        <f t="shared" si="58"/>
        <v/>
      </c>
      <c r="F82" s="5">
        <f>0</f>
        <v>0</v>
      </c>
      <c r="G82" s="4"/>
      <c r="H82" s="5">
        <f t="shared" si="59"/>
        <v>0</v>
      </c>
      <c r="I82" s="6" t="str">
        <f t="shared" si="60"/>
        <v/>
      </c>
      <c r="J82" s="5">
        <f>0</f>
        <v>0</v>
      </c>
      <c r="K82" s="4"/>
      <c r="L82" s="5">
        <f t="shared" si="61"/>
        <v>0</v>
      </c>
      <c r="M82" s="6" t="str">
        <f t="shared" si="62"/>
        <v/>
      </c>
      <c r="N82" s="5">
        <f>0</f>
        <v>0</v>
      </c>
      <c r="O82" s="4"/>
      <c r="P82" s="5">
        <f t="shared" si="63"/>
        <v>0</v>
      </c>
      <c r="Q82" s="6" t="str">
        <f t="shared" si="64"/>
        <v/>
      </c>
      <c r="R82" s="5">
        <f>0</f>
        <v>0</v>
      </c>
      <c r="S82" s="4"/>
      <c r="T82" s="5">
        <f t="shared" si="65"/>
        <v>0</v>
      </c>
      <c r="U82" s="6" t="str">
        <f t="shared" si="66"/>
        <v/>
      </c>
      <c r="V82" s="5">
        <f>0</f>
        <v>0</v>
      </c>
      <c r="W82" s="4"/>
      <c r="X82" s="5">
        <f t="shared" si="67"/>
        <v>0</v>
      </c>
      <c r="Y82" s="6" t="str">
        <f t="shared" si="68"/>
        <v/>
      </c>
      <c r="Z82" s="5">
        <f>0</f>
        <v>0</v>
      </c>
      <c r="AA82" s="4"/>
      <c r="AB82" s="5">
        <f t="shared" si="69"/>
        <v>0</v>
      </c>
      <c r="AC82" s="6" t="str">
        <f t="shared" si="70"/>
        <v/>
      </c>
      <c r="AD82" s="5">
        <f>0</f>
        <v>0</v>
      </c>
      <c r="AE82" s="4"/>
      <c r="AF82" s="5">
        <f t="shared" si="71"/>
        <v>0</v>
      </c>
      <c r="AG82" s="6" t="str">
        <f t="shared" si="72"/>
        <v/>
      </c>
      <c r="AH82" s="5">
        <f>0</f>
        <v>0</v>
      </c>
      <c r="AI82" s="4"/>
      <c r="AJ82" s="5">
        <f t="shared" si="73"/>
        <v>0</v>
      </c>
      <c r="AK82" s="6" t="str">
        <f t="shared" si="74"/>
        <v/>
      </c>
      <c r="AL82" s="5">
        <f>0</f>
        <v>0</v>
      </c>
      <c r="AM82" s="4"/>
      <c r="AN82" s="5">
        <f t="shared" si="75"/>
        <v>0</v>
      </c>
      <c r="AO82" s="6" t="str">
        <f t="shared" si="76"/>
        <v/>
      </c>
      <c r="AP82" s="5">
        <f>0</f>
        <v>0</v>
      </c>
      <c r="AQ82" s="4"/>
      <c r="AR82" s="5">
        <f t="shared" si="77"/>
        <v>0</v>
      </c>
      <c r="AS82" s="6" t="str">
        <f t="shared" si="78"/>
        <v/>
      </c>
      <c r="AT82" s="5">
        <f>0</f>
        <v>0</v>
      </c>
      <c r="AU82" s="4"/>
      <c r="AV82" s="5">
        <f t="shared" si="79"/>
        <v>0</v>
      </c>
      <c r="AW82" s="6" t="str">
        <f t="shared" si="80"/>
        <v/>
      </c>
      <c r="AX82" s="5">
        <f t="shared" si="81"/>
        <v>0</v>
      </c>
      <c r="AY82" s="5">
        <f t="shared" si="82"/>
        <v>0</v>
      </c>
      <c r="AZ82" s="5">
        <f t="shared" si="83"/>
        <v>0</v>
      </c>
      <c r="BA82" s="6" t="str">
        <f t="shared" si="84"/>
        <v/>
      </c>
    </row>
    <row r="83" spans="1:53" x14ac:dyDescent="0.25">
      <c r="A83" s="3" t="s">
        <v>96</v>
      </c>
      <c r="B83" s="7">
        <f>(((B79)+(B80))+(B81))+(B82)</f>
        <v>120.05000000000001</v>
      </c>
      <c r="C83" s="7">
        <f>(((C79)+(C80))+(C81))+(C82)</f>
        <v>366.08</v>
      </c>
      <c r="D83" s="7">
        <f t="shared" si="57"/>
        <v>-246.02999999999997</v>
      </c>
      <c r="E83" s="8">
        <f t="shared" si="58"/>
        <v>0.327933784965035</v>
      </c>
      <c r="F83" s="7">
        <f>(((F79)+(F80))+(F81))+(F82)</f>
        <v>181.13</v>
      </c>
      <c r="G83" s="7">
        <f>(((G79)+(G80))+(G81))+(G82)</f>
        <v>366.08</v>
      </c>
      <c r="H83" s="7">
        <f t="shared" si="59"/>
        <v>-184.95</v>
      </c>
      <c r="I83" s="8">
        <f t="shared" si="60"/>
        <v>0.4947825611888112</v>
      </c>
      <c r="J83" s="7">
        <f>(((J79)+(J80))+(J81))+(J82)</f>
        <v>170.85</v>
      </c>
      <c r="K83" s="7">
        <f>(((K79)+(K80))+(K81))+(K82)</f>
        <v>366.08</v>
      </c>
      <c r="L83" s="7">
        <f t="shared" si="61"/>
        <v>-195.23</v>
      </c>
      <c r="M83" s="8">
        <f t="shared" si="62"/>
        <v>0.4667012674825175</v>
      </c>
      <c r="N83" s="7">
        <f>(((N79)+(N80))+(N81))+(N82)</f>
        <v>232</v>
      </c>
      <c r="O83" s="7">
        <f>(((O79)+(O80))+(O81))+(O82)</f>
        <v>366.08</v>
      </c>
      <c r="P83" s="7">
        <f t="shared" si="63"/>
        <v>-134.07999999999998</v>
      </c>
      <c r="Q83" s="8">
        <f t="shared" si="64"/>
        <v>0.63374125874125875</v>
      </c>
      <c r="R83" s="7">
        <f>(((R79)+(R80))+(R81))+(R82)</f>
        <v>217.05</v>
      </c>
      <c r="S83" s="7">
        <f>(((S79)+(S80))+(S81))+(S82)</f>
        <v>366.08</v>
      </c>
      <c r="T83" s="7">
        <f t="shared" si="65"/>
        <v>-149.02999999999997</v>
      </c>
      <c r="U83" s="8">
        <f t="shared" si="66"/>
        <v>0.59290319055944063</v>
      </c>
      <c r="V83" s="7">
        <f>(((V79)+(V80))+(V81))+(V82)</f>
        <v>664</v>
      </c>
      <c r="W83" s="7">
        <f>(((W79)+(W80))+(W81))+(W82)</f>
        <v>366.08</v>
      </c>
      <c r="X83" s="7">
        <f t="shared" si="67"/>
        <v>297.92</v>
      </c>
      <c r="Y83" s="8">
        <f t="shared" si="68"/>
        <v>1.813811188811189</v>
      </c>
      <c r="Z83" s="7">
        <f>(((Z79)+(Z80))+(Z81))+(Z82)</f>
        <v>224.51999999999998</v>
      </c>
      <c r="AA83" s="7">
        <f>(((AA79)+(AA80))+(AA81))+(AA82)</f>
        <v>366.08</v>
      </c>
      <c r="AB83" s="7">
        <f t="shared" si="69"/>
        <v>-141.56</v>
      </c>
      <c r="AC83" s="8">
        <f t="shared" si="70"/>
        <v>0.61330856643356646</v>
      </c>
      <c r="AD83" s="7">
        <f>(((AD79)+(AD80))+(AD81))+(AD82)</f>
        <v>124.67000000000002</v>
      </c>
      <c r="AE83" s="7">
        <f>(((AE79)+(AE80))+(AE81))+(AE82)</f>
        <v>366.08</v>
      </c>
      <c r="AF83" s="7">
        <f t="shared" si="71"/>
        <v>-241.40999999999997</v>
      </c>
      <c r="AG83" s="8">
        <f t="shared" si="72"/>
        <v>0.34055397727272735</v>
      </c>
      <c r="AH83" s="7">
        <f>(((AH79)+(AH80))+(AH81))+(AH82)</f>
        <v>154.51999999999998</v>
      </c>
      <c r="AI83" s="7">
        <f>(((AI79)+(AI80))+(AI81))+(AI82)</f>
        <v>366.08</v>
      </c>
      <c r="AJ83" s="7">
        <f t="shared" si="73"/>
        <v>-211.56</v>
      </c>
      <c r="AK83" s="8">
        <f t="shared" si="74"/>
        <v>0.42209353146853146</v>
      </c>
      <c r="AL83" s="7">
        <f>(((AL79)+(AL80))+(AL81))+(AL82)</f>
        <v>159.67000000000002</v>
      </c>
      <c r="AM83" s="7">
        <f>(((AM79)+(AM80))+(AM81))+(AM82)</f>
        <v>366.08</v>
      </c>
      <c r="AN83" s="7">
        <f t="shared" si="75"/>
        <v>-206.40999999999997</v>
      </c>
      <c r="AO83" s="8">
        <f t="shared" si="76"/>
        <v>0.43616149475524479</v>
      </c>
      <c r="AP83" s="7">
        <f>(((AP79)+(AP80))+(AP81))+(AP82)</f>
        <v>159.67000000000002</v>
      </c>
      <c r="AQ83" s="7">
        <f>(((AQ79)+(AQ80))+(AQ81))+(AQ82)</f>
        <v>366.08</v>
      </c>
      <c r="AR83" s="7">
        <f t="shared" si="77"/>
        <v>-206.40999999999997</v>
      </c>
      <c r="AS83" s="8">
        <f t="shared" si="78"/>
        <v>0.43616149475524479</v>
      </c>
      <c r="AT83" s="7">
        <f>(((AT79)+(AT80))+(AT81))+(AT82)</f>
        <v>151.35</v>
      </c>
      <c r="AU83" s="7">
        <f>(((AU79)+(AU80))+(AU81))+(AU82)</f>
        <v>366.08</v>
      </c>
      <c r="AV83" s="7">
        <f t="shared" si="79"/>
        <v>-214.73</v>
      </c>
      <c r="AW83" s="8">
        <f t="shared" si="80"/>
        <v>0.41343422202797203</v>
      </c>
      <c r="AX83" s="7">
        <f t="shared" si="81"/>
        <v>2559.48</v>
      </c>
      <c r="AY83" s="7">
        <f t="shared" si="82"/>
        <v>4392.96</v>
      </c>
      <c r="AZ83" s="7">
        <f t="shared" si="83"/>
        <v>-1833.48</v>
      </c>
      <c r="BA83" s="8">
        <f t="shared" si="84"/>
        <v>0.58263221153846156</v>
      </c>
    </row>
    <row r="84" spans="1:53" x14ac:dyDescent="0.25">
      <c r="A84" s="3" t="s">
        <v>97</v>
      </c>
      <c r="B84" s="4"/>
      <c r="C84" s="4"/>
      <c r="D84" s="5">
        <f t="shared" si="57"/>
        <v>0</v>
      </c>
      <c r="E84" s="6" t="str">
        <f t="shared" si="58"/>
        <v/>
      </c>
      <c r="F84" s="4"/>
      <c r="G84" s="4"/>
      <c r="H84" s="5">
        <f t="shared" si="59"/>
        <v>0</v>
      </c>
      <c r="I84" s="6" t="str">
        <f t="shared" si="60"/>
        <v/>
      </c>
      <c r="J84" s="4"/>
      <c r="K84" s="4"/>
      <c r="L84" s="5">
        <f t="shared" si="61"/>
        <v>0</v>
      </c>
      <c r="M84" s="6" t="str">
        <f t="shared" si="62"/>
        <v/>
      </c>
      <c r="N84" s="4"/>
      <c r="O84" s="4"/>
      <c r="P84" s="5">
        <f t="shared" si="63"/>
        <v>0</v>
      </c>
      <c r="Q84" s="6" t="str">
        <f t="shared" si="64"/>
        <v/>
      </c>
      <c r="R84" s="4"/>
      <c r="S84" s="4"/>
      <c r="T84" s="5">
        <f t="shared" si="65"/>
        <v>0</v>
      </c>
      <c r="U84" s="6" t="str">
        <f t="shared" si="66"/>
        <v/>
      </c>
      <c r="V84" s="4"/>
      <c r="W84" s="4"/>
      <c r="X84" s="5">
        <f t="shared" si="67"/>
        <v>0</v>
      </c>
      <c r="Y84" s="6" t="str">
        <f t="shared" si="68"/>
        <v/>
      </c>
      <c r="Z84" s="4"/>
      <c r="AA84" s="4"/>
      <c r="AB84" s="5">
        <f t="shared" si="69"/>
        <v>0</v>
      </c>
      <c r="AC84" s="6" t="str">
        <f t="shared" si="70"/>
        <v/>
      </c>
      <c r="AD84" s="4"/>
      <c r="AE84" s="4"/>
      <c r="AF84" s="5">
        <f t="shared" si="71"/>
        <v>0</v>
      </c>
      <c r="AG84" s="6" t="str">
        <f t="shared" si="72"/>
        <v/>
      </c>
      <c r="AH84" s="4"/>
      <c r="AI84" s="4"/>
      <c r="AJ84" s="5">
        <f t="shared" si="73"/>
        <v>0</v>
      </c>
      <c r="AK84" s="6" t="str">
        <f t="shared" si="74"/>
        <v/>
      </c>
      <c r="AL84" s="4"/>
      <c r="AM84" s="4"/>
      <c r="AN84" s="5">
        <f t="shared" si="75"/>
        <v>0</v>
      </c>
      <c r="AO84" s="6" t="str">
        <f t="shared" si="76"/>
        <v/>
      </c>
      <c r="AP84" s="4"/>
      <c r="AQ84" s="4"/>
      <c r="AR84" s="5">
        <f t="shared" si="77"/>
        <v>0</v>
      </c>
      <c r="AS84" s="6" t="str">
        <f t="shared" si="78"/>
        <v/>
      </c>
      <c r="AT84" s="4"/>
      <c r="AU84" s="4"/>
      <c r="AV84" s="5">
        <f t="shared" si="79"/>
        <v>0</v>
      </c>
      <c r="AW84" s="6" t="str">
        <f t="shared" si="80"/>
        <v/>
      </c>
      <c r="AX84" s="5">
        <f t="shared" si="81"/>
        <v>0</v>
      </c>
      <c r="AY84" s="5">
        <f t="shared" si="82"/>
        <v>0</v>
      </c>
      <c r="AZ84" s="5">
        <f t="shared" si="83"/>
        <v>0</v>
      </c>
      <c r="BA84" s="6" t="str">
        <f t="shared" si="84"/>
        <v/>
      </c>
    </row>
    <row r="85" spans="1:53" x14ac:dyDescent="0.25">
      <c r="A85" s="3" t="s">
        <v>98</v>
      </c>
      <c r="B85" s="4"/>
      <c r="C85" s="4"/>
      <c r="D85" s="5">
        <f t="shared" si="57"/>
        <v>0</v>
      </c>
      <c r="E85" s="6" t="str">
        <f t="shared" si="58"/>
        <v/>
      </c>
      <c r="F85" s="5">
        <f>67.63</f>
        <v>67.63</v>
      </c>
      <c r="G85" s="4"/>
      <c r="H85" s="5">
        <f t="shared" si="59"/>
        <v>67.63</v>
      </c>
      <c r="I85" s="6" t="str">
        <f t="shared" si="60"/>
        <v/>
      </c>
      <c r="J85" s="4"/>
      <c r="K85" s="4"/>
      <c r="L85" s="5">
        <f t="shared" si="61"/>
        <v>0</v>
      </c>
      <c r="M85" s="6" t="str">
        <f t="shared" si="62"/>
        <v/>
      </c>
      <c r="N85" s="4"/>
      <c r="O85" s="4"/>
      <c r="P85" s="5">
        <f t="shared" si="63"/>
        <v>0</v>
      </c>
      <c r="Q85" s="6" t="str">
        <f t="shared" si="64"/>
        <v/>
      </c>
      <c r="R85" s="4"/>
      <c r="S85" s="4"/>
      <c r="T85" s="5">
        <f t="shared" si="65"/>
        <v>0</v>
      </c>
      <c r="U85" s="6" t="str">
        <f t="shared" si="66"/>
        <v/>
      </c>
      <c r="V85" s="4"/>
      <c r="W85" s="4"/>
      <c r="X85" s="5">
        <f t="shared" si="67"/>
        <v>0</v>
      </c>
      <c r="Y85" s="6" t="str">
        <f t="shared" si="68"/>
        <v/>
      </c>
      <c r="Z85" s="4"/>
      <c r="AA85" s="4"/>
      <c r="AB85" s="5">
        <f t="shared" si="69"/>
        <v>0</v>
      </c>
      <c r="AC85" s="6" t="str">
        <f t="shared" si="70"/>
        <v/>
      </c>
      <c r="AD85" s="4"/>
      <c r="AE85" s="4"/>
      <c r="AF85" s="5">
        <f t="shared" si="71"/>
        <v>0</v>
      </c>
      <c r="AG85" s="6" t="str">
        <f t="shared" si="72"/>
        <v/>
      </c>
      <c r="AH85" s="4"/>
      <c r="AI85" s="4"/>
      <c r="AJ85" s="5">
        <f t="shared" si="73"/>
        <v>0</v>
      </c>
      <c r="AK85" s="6" t="str">
        <f t="shared" si="74"/>
        <v/>
      </c>
      <c r="AL85" s="4"/>
      <c r="AM85" s="4"/>
      <c r="AN85" s="5">
        <f t="shared" si="75"/>
        <v>0</v>
      </c>
      <c r="AO85" s="6" t="str">
        <f t="shared" si="76"/>
        <v/>
      </c>
      <c r="AP85" s="4"/>
      <c r="AQ85" s="4"/>
      <c r="AR85" s="5">
        <f t="shared" si="77"/>
        <v>0</v>
      </c>
      <c r="AS85" s="6" t="str">
        <f t="shared" si="78"/>
        <v/>
      </c>
      <c r="AT85" s="5">
        <f>41.61</f>
        <v>41.61</v>
      </c>
      <c r="AU85" s="4"/>
      <c r="AV85" s="5">
        <f t="shared" si="79"/>
        <v>41.61</v>
      </c>
      <c r="AW85" s="6" t="str">
        <f t="shared" si="80"/>
        <v/>
      </c>
      <c r="AX85" s="5">
        <f t="shared" si="81"/>
        <v>109.24</v>
      </c>
      <c r="AY85" s="5">
        <f t="shared" si="82"/>
        <v>0</v>
      </c>
      <c r="AZ85" s="5">
        <f t="shared" si="83"/>
        <v>109.24</v>
      </c>
      <c r="BA85" s="6" t="str">
        <f t="shared" si="84"/>
        <v/>
      </c>
    </row>
    <row r="86" spans="1:53" x14ac:dyDescent="0.25">
      <c r="A86" s="3" t="s">
        <v>99</v>
      </c>
      <c r="B86" s="4"/>
      <c r="C86" s="4"/>
      <c r="D86" s="5">
        <f t="shared" si="57"/>
        <v>0</v>
      </c>
      <c r="E86" s="6" t="str">
        <f t="shared" si="58"/>
        <v/>
      </c>
      <c r="F86" s="5">
        <f>36.42</f>
        <v>36.42</v>
      </c>
      <c r="G86" s="4"/>
      <c r="H86" s="5">
        <f t="shared" si="59"/>
        <v>36.42</v>
      </c>
      <c r="I86" s="6" t="str">
        <f t="shared" si="60"/>
        <v/>
      </c>
      <c r="J86" s="4"/>
      <c r="K86" s="4"/>
      <c r="L86" s="5">
        <f t="shared" si="61"/>
        <v>0</v>
      </c>
      <c r="M86" s="6" t="str">
        <f t="shared" si="62"/>
        <v/>
      </c>
      <c r="N86" s="4"/>
      <c r="O86" s="4"/>
      <c r="P86" s="5">
        <f t="shared" si="63"/>
        <v>0</v>
      </c>
      <c r="Q86" s="6" t="str">
        <f t="shared" si="64"/>
        <v/>
      </c>
      <c r="R86" s="4"/>
      <c r="S86" s="4"/>
      <c r="T86" s="5">
        <f t="shared" si="65"/>
        <v>0</v>
      </c>
      <c r="U86" s="6" t="str">
        <f t="shared" si="66"/>
        <v/>
      </c>
      <c r="V86" s="4"/>
      <c r="W86" s="4"/>
      <c r="X86" s="5">
        <f t="shared" si="67"/>
        <v>0</v>
      </c>
      <c r="Y86" s="6" t="str">
        <f t="shared" si="68"/>
        <v/>
      </c>
      <c r="Z86" s="4"/>
      <c r="AA86" s="4"/>
      <c r="AB86" s="5">
        <f t="shared" si="69"/>
        <v>0</v>
      </c>
      <c r="AC86" s="6" t="str">
        <f t="shared" si="70"/>
        <v/>
      </c>
      <c r="AD86" s="4"/>
      <c r="AE86" s="4"/>
      <c r="AF86" s="5">
        <f t="shared" si="71"/>
        <v>0</v>
      </c>
      <c r="AG86" s="6" t="str">
        <f t="shared" si="72"/>
        <v/>
      </c>
      <c r="AH86" s="4"/>
      <c r="AI86" s="4"/>
      <c r="AJ86" s="5">
        <f t="shared" si="73"/>
        <v>0</v>
      </c>
      <c r="AK86" s="6" t="str">
        <f t="shared" si="74"/>
        <v/>
      </c>
      <c r="AL86" s="4"/>
      <c r="AM86" s="4"/>
      <c r="AN86" s="5">
        <f t="shared" si="75"/>
        <v>0</v>
      </c>
      <c r="AO86" s="6" t="str">
        <f t="shared" si="76"/>
        <v/>
      </c>
      <c r="AP86" s="4"/>
      <c r="AQ86" s="4"/>
      <c r="AR86" s="5">
        <f t="shared" si="77"/>
        <v>0</v>
      </c>
      <c r="AS86" s="6" t="str">
        <f t="shared" si="78"/>
        <v/>
      </c>
      <c r="AT86" s="5">
        <f>22.41</f>
        <v>22.41</v>
      </c>
      <c r="AU86" s="4"/>
      <c r="AV86" s="5">
        <f t="shared" si="79"/>
        <v>22.41</v>
      </c>
      <c r="AW86" s="6" t="str">
        <f t="shared" si="80"/>
        <v/>
      </c>
      <c r="AX86" s="5">
        <f t="shared" si="81"/>
        <v>58.83</v>
      </c>
      <c r="AY86" s="5">
        <f t="shared" si="82"/>
        <v>0</v>
      </c>
      <c r="AZ86" s="5">
        <f t="shared" si="83"/>
        <v>58.83</v>
      </c>
      <c r="BA86" s="6" t="str">
        <f t="shared" si="84"/>
        <v/>
      </c>
    </row>
    <row r="87" spans="1:53" x14ac:dyDescent="0.25">
      <c r="A87" s="3" t="s">
        <v>100</v>
      </c>
      <c r="B87" s="4"/>
      <c r="C87" s="4"/>
      <c r="D87" s="5">
        <f t="shared" si="57"/>
        <v>0</v>
      </c>
      <c r="E87" s="6" t="str">
        <f t="shared" si="58"/>
        <v/>
      </c>
      <c r="F87" s="5">
        <f>0</f>
        <v>0</v>
      </c>
      <c r="G87" s="4"/>
      <c r="H87" s="5">
        <f t="shared" si="59"/>
        <v>0</v>
      </c>
      <c r="I87" s="6" t="str">
        <f t="shared" si="60"/>
        <v/>
      </c>
      <c r="J87" s="4"/>
      <c r="K87" s="4"/>
      <c r="L87" s="5">
        <f t="shared" si="61"/>
        <v>0</v>
      </c>
      <c r="M87" s="6" t="str">
        <f t="shared" si="62"/>
        <v/>
      </c>
      <c r="N87" s="4"/>
      <c r="O87" s="4"/>
      <c r="P87" s="5">
        <f t="shared" si="63"/>
        <v>0</v>
      </c>
      <c r="Q87" s="6" t="str">
        <f t="shared" si="64"/>
        <v/>
      </c>
      <c r="R87" s="4"/>
      <c r="S87" s="4"/>
      <c r="T87" s="5">
        <f t="shared" si="65"/>
        <v>0</v>
      </c>
      <c r="U87" s="6" t="str">
        <f t="shared" si="66"/>
        <v/>
      </c>
      <c r="V87" s="4"/>
      <c r="W87" s="4"/>
      <c r="X87" s="5">
        <f t="shared" si="67"/>
        <v>0</v>
      </c>
      <c r="Y87" s="6" t="str">
        <f t="shared" si="68"/>
        <v/>
      </c>
      <c r="Z87" s="4"/>
      <c r="AA87" s="4"/>
      <c r="AB87" s="5">
        <f t="shared" si="69"/>
        <v>0</v>
      </c>
      <c r="AC87" s="6" t="str">
        <f t="shared" si="70"/>
        <v/>
      </c>
      <c r="AD87" s="4"/>
      <c r="AE87" s="4"/>
      <c r="AF87" s="5">
        <f t="shared" si="71"/>
        <v>0</v>
      </c>
      <c r="AG87" s="6" t="str">
        <f t="shared" si="72"/>
        <v/>
      </c>
      <c r="AH87" s="4"/>
      <c r="AI87" s="4"/>
      <c r="AJ87" s="5">
        <f t="shared" si="73"/>
        <v>0</v>
      </c>
      <c r="AK87" s="6" t="str">
        <f t="shared" si="74"/>
        <v/>
      </c>
      <c r="AL87" s="4"/>
      <c r="AM87" s="4"/>
      <c r="AN87" s="5">
        <f t="shared" si="75"/>
        <v>0</v>
      </c>
      <c r="AO87" s="6" t="str">
        <f t="shared" si="76"/>
        <v/>
      </c>
      <c r="AP87" s="4"/>
      <c r="AQ87" s="4"/>
      <c r="AR87" s="5">
        <f t="shared" si="77"/>
        <v>0</v>
      </c>
      <c r="AS87" s="6" t="str">
        <f t="shared" si="78"/>
        <v/>
      </c>
      <c r="AT87" s="5">
        <f>0</f>
        <v>0</v>
      </c>
      <c r="AU87" s="4"/>
      <c r="AV87" s="5">
        <f t="shared" si="79"/>
        <v>0</v>
      </c>
      <c r="AW87" s="6" t="str">
        <f t="shared" si="80"/>
        <v/>
      </c>
      <c r="AX87" s="5">
        <f t="shared" si="81"/>
        <v>0</v>
      </c>
      <c r="AY87" s="5">
        <f t="shared" si="82"/>
        <v>0</v>
      </c>
      <c r="AZ87" s="5">
        <f t="shared" si="83"/>
        <v>0</v>
      </c>
      <c r="BA87" s="6" t="str">
        <f t="shared" si="84"/>
        <v/>
      </c>
    </row>
    <row r="88" spans="1:53" x14ac:dyDescent="0.25">
      <c r="A88" s="3" t="s">
        <v>101</v>
      </c>
      <c r="B88" s="7">
        <f>(((B84)+(B85))+(B86))+(B87)</f>
        <v>0</v>
      </c>
      <c r="C88" s="7">
        <f>(((C84)+(C85))+(C86))+(C87)</f>
        <v>0</v>
      </c>
      <c r="D88" s="7">
        <f t="shared" si="57"/>
        <v>0</v>
      </c>
      <c r="E88" s="8" t="str">
        <f t="shared" si="58"/>
        <v/>
      </c>
      <c r="F88" s="7">
        <f>(((F84)+(F85))+(F86))+(F87)</f>
        <v>104.05</v>
      </c>
      <c r="G88" s="7">
        <f>(((G84)+(G85))+(G86))+(G87)</f>
        <v>0</v>
      </c>
      <c r="H88" s="7">
        <f t="shared" si="59"/>
        <v>104.05</v>
      </c>
      <c r="I88" s="8" t="str">
        <f t="shared" si="60"/>
        <v/>
      </c>
      <c r="J88" s="7">
        <f>(((J84)+(J85))+(J86))+(J87)</f>
        <v>0</v>
      </c>
      <c r="K88" s="7">
        <f>(((K84)+(K85))+(K86))+(K87)</f>
        <v>0</v>
      </c>
      <c r="L88" s="7">
        <f t="shared" si="61"/>
        <v>0</v>
      </c>
      <c r="M88" s="8" t="str">
        <f t="shared" si="62"/>
        <v/>
      </c>
      <c r="N88" s="7">
        <f>(((N84)+(N85))+(N86))+(N87)</f>
        <v>0</v>
      </c>
      <c r="O88" s="7">
        <f>(((O84)+(O85))+(O86))+(O87)</f>
        <v>0</v>
      </c>
      <c r="P88" s="7">
        <f t="shared" si="63"/>
        <v>0</v>
      </c>
      <c r="Q88" s="8" t="str">
        <f t="shared" si="64"/>
        <v/>
      </c>
      <c r="R88" s="7">
        <f>(((R84)+(R85))+(R86))+(R87)</f>
        <v>0</v>
      </c>
      <c r="S88" s="7">
        <f>(((S84)+(S85))+(S86))+(S87)</f>
        <v>0</v>
      </c>
      <c r="T88" s="7">
        <f t="shared" si="65"/>
        <v>0</v>
      </c>
      <c r="U88" s="8" t="str">
        <f t="shared" si="66"/>
        <v/>
      </c>
      <c r="V88" s="7">
        <f>(((V84)+(V85))+(V86))+(V87)</f>
        <v>0</v>
      </c>
      <c r="W88" s="7">
        <f>(((W84)+(W85))+(W86))+(W87)</f>
        <v>0</v>
      </c>
      <c r="X88" s="7">
        <f t="shared" si="67"/>
        <v>0</v>
      </c>
      <c r="Y88" s="8" t="str">
        <f t="shared" si="68"/>
        <v/>
      </c>
      <c r="Z88" s="7">
        <f>(((Z84)+(Z85))+(Z86))+(Z87)</f>
        <v>0</v>
      </c>
      <c r="AA88" s="7">
        <f>(((AA84)+(AA85))+(AA86))+(AA87)</f>
        <v>0</v>
      </c>
      <c r="AB88" s="7">
        <f t="shared" si="69"/>
        <v>0</v>
      </c>
      <c r="AC88" s="8" t="str">
        <f t="shared" si="70"/>
        <v/>
      </c>
      <c r="AD88" s="7">
        <f>(((AD84)+(AD85))+(AD86))+(AD87)</f>
        <v>0</v>
      </c>
      <c r="AE88" s="7">
        <f>(((AE84)+(AE85))+(AE86))+(AE87)</f>
        <v>0</v>
      </c>
      <c r="AF88" s="7">
        <f t="shared" si="71"/>
        <v>0</v>
      </c>
      <c r="AG88" s="8" t="str">
        <f t="shared" si="72"/>
        <v/>
      </c>
      <c r="AH88" s="7">
        <f>(((AH84)+(AH85))+(AH86))+(AH87)</f>
        <v>0</v>
      </c>
      <c r="AI88" s="7">
        <f>(((AI84)+(AI85))+(AI86))+(AI87)</f>
        <v>0</v>
      </c>
      <c r="AJ88" s="7">
        <f t="shared" si="73"/>
        <v>0</v>
      </c>
      <c r="AK88" s="8" t="str">
        <f t="shared" si="74"/>
        <v/>
      </c>
      <c r="AL88" s="7">
        <f>(((AL84)+(AL85))+(AL86))+(AL87)</f>
        <v>0</v>
      </c>
      <c r="AM88" s="7">
        <f>(((AM84)+(AM85))+(AM86))+(AM87)</f>
        <v>0</v>
      </c>
      <c r="AN88" s="7">
        <f t="shared" si="75"/>
        <v>0</v>
      </c>
      <c r="AO88" s="8" t="str">
        <f t="shared" si="76"/>
        <v/>
      </c>
      <c r="AP88" s="7">
        <f>(((AP84)+(AP85))+(AP86))+(AP87)</f>
        <v>0</v>
      </c>
      <c r="AQ88" s="7">
        <f>(((AQ84)+(AQ85))+(AQ86))+(AQ87)</f>
        <v>0</v>
      </c>
      <c r="AR88" s="7">
        <f t="shared" si="77"/>
        <v>0</v>
      </c>
      <c r="AS88" s="8" t="str">
        <f t="shared" si="78"/>
        <v/>
      </c>
      <c r="AT88" s="7">
        <f>(((AT84)+(AT85))+(AT86))+(AT87)</f>
        <v>64.02</v>
      </c>
      <c r="AU88" s="7">
        <f>(((AU84)+(AU85))+(AU86))+(AU87)</f>
        <v>0</v>
      </c>
      <c r="AV88" s="7">
        <f t="shared" si="79"/>
        <v>64.02</v>
      </c>
      <c r="AW88" s="8" t="str">
        <f t="shared" si="80"/>
        <v/>
      </c>
      <c r="AX88" s="7">
        <f t="shared" si="81"/>
        <v>168.07</v>
      </c>
      <c r="AY88" s="7">
        <f t="shared" si="82"/>
        <v>0</v>
      </c>
      <c r="AZ88" s="7">
        <f t="shared" si="83"/>
        <v>168.07</v>
      </c>
      <c r="BA88" s="8" t="str">
        <f t="shared" si="84"/>
        <v/>
      </c>
    </row>
    <row r="89" spans="1:53" x14ac:dyDescent="0.25">
      <c r="A89" s="3" t="s">
        <v>102</v>
      </c>
      <c r="B89" s="4"/>
      <c r="C89" s="4"/>
      <c r="D89" s="5">
        <f t="shared" si="57"/>
        <v>0</v>
      </c>
      <c r="E89" s="6" t="str">
        <f t="shared" si="58"/>
        <v/>
      </c>
      <c r="F89" s="4"/>
      <c r="G89" s="4"/>
      <c r="H89" s="5">
        <f t="shared" si="59"/>
        <v>0</v>
      </c>
      <c r="I89" s="6" t="str">
        <f t="shared" si="60"/>
        <v/>
      </c>
      <c r="J89" s="4"/>
      <c r="K89" s="4"/>
      <c r="L89" s="5">
        <f t="shared" si="61"/>
        <v>0</v>
      </c>
      <c r="M89" s="6" t="str">
        <f t="shared" si="62"/>
        <v/>
      </c>
      <c r="N89" s="4"/>
      <c r="O89" s="4"/>
      <c r="P89" s="5">
        <f t="shared" si="63"/>
        <v>0</v>
      </c>
      <c r="Q89" s="6" t="str">
        <f t="shared" si="64"/>
        <v/>
      </c>
      <c r="R89" s="4"/>
      <c r="S89" s="4"/>
      <c r="T89" s="5">
        <f t="shared" si="65"/>
        <v>0</v>
      </c>
      <c r="U89" s="6" t="str">
        <f t="shared" si="66"/>
        <v/>
      </c>
      <c r="V89" s="4"/>
      <c r="W89" s="4"/>
      <c r="X89" s="5">
        <f t="shared" si="67"/>
        <v>0</v>
      </c>
      <c r="Y89" s="6" t="str">
        <f t="shared" si="68"/>
        <v/>
      </c>
      <c r="Z89" s="4"/>
      <c r="AA89" s="4"/>
      <c r="AB89" s="5">
        <f t="shared" si="69"/>
        <v>0</v>
      </c>
      <c r="AC89" s="6" t="str">
        <f t="shared" si="70"/>
        <v/>
      </c>
      <c r="AD89" s="4"/>
      <c r="AE89" s="4"/>
      <c r="AF89" s="5">
        <f t="shared" si="71"/>
        <v>0</v>
      </c>
      <c r="AG89" s="6" t="str">
        <f t="shared" si="72"/>
        <v/>
      </c>
      <c r="AH89" s="4"/>
      <c r="AI89" s="4"/>
      <c r="AJ89" s="5">
        <f t="shared" si="73"/>
        <v>0</v>
      </c>
      <c r="AK89" s="6" t="str">
        <f t="shared" si="74"/>
        <v/>
      </c>
      <c r="AL89" s="4"/>
      <c r="AM89" s="4"/>
      <c r="AN89" s="5">
        <f t="shared" si="75"/>
        <v>0</v>
      </c>
      <c r="AO89" s="6" t="str">
        <f t="shared" si="76"/>
        <v/>
      </c>
      <c r="AP89" s="4"/>
      <c r="AQ89" s="4"/>
      <c r="AR89" s="5">
        <f t="shared" si="77"/>
        <v>0</v>
      </c>
      <c r="AS89" s="6" t="str">
        <f t="shared" si="78"/>
        <v/>
      </c>
      <c r="AT89" s="4"/>
      <c r="AU89" s="4"/>
      <c r="AV89" s="5">
        <f t="shared" si="79"/>
        <v>0</v>
      </c>
      <c r="AW89" s="6" t="str">
        <f t="shared" si="80"/>
        <v/>
      </c>
      <c r="AX89" s="5">
        <f t="shared" si="81"/>
        <v>0</v>
      </c>
      <c r="AY89" s="5">
        <f t="shared" si="82"/>
        <v>0</v>
      </c>
      <c r="AZ89" s="5">
        <f t="shared" si="83"/>
        <v>0</v>
      </c>
      <c r="BA89" s="6" t="str">
        <f t="shared" si="84"/>
        <v/>
      </c>
    </row>
    <row r="90" spans="1:53" x14ac:dyDescent="0.25">
      <c r="A90" s="3" t="s">
        <v>103</v>
      </c>
      <c r="B90" s="4"/>
      <c r="C90" s="4"/>
      <c r="D90" s="5">
        <f t="shared" si="57"/>
        <v>0</v>
      </c>
      <c r="E90" s="6" t="str">
        <f t="shared" si="58"/>
        <v/>
      </c>
      <c r="F90" s="4"/>
      <c r="G90" s="4"/>
      <c r="H90" s="5">
        <f t="shared" si="59"/>
        <v>0</v>
      </c>
      <c r="I90" s="6" t="str">
        <f t="shared" si="60"/>
        <v/>
      </c>
      <c r="J90" s="4"/>
      <c r="K90" s="4"/>
      <c r="L90" s="5">
        <f t="shared" si="61"/>
        <v>0</v>
      </c>
      <c r="M90" s="6" t="str">
        <f t="shared" si="62"/>
        <v/>
      </c>
      <c r="N90" s="5">
        <f>145.24</f>
        <v>145.24</v>
      </c>
      <c r="O90" s="4"/>
      <c r="P90" s="5">
        <f t="shared" si="63"/>
        <v>145.24</v>
      </c>
      <c r="Q90" s="6" t="str">
        <f t="shared" si="64"/>
        <v/>
      </c>
      <c r="R90" s="5">
        <f>736.13</f>
        <v>736.13</v>
      </c>
      <c r="S90" s="4"/>
      <c r="T90" s="5">
        <f t="shared" si="65"/>
        <v>736.13</v>
      </c>
      <c r="U90" s="6" t="str">
        <f t="shared" si="66"/>
        <v/>
      </c>
      <c r="V90" s="4"/>
      <c r="W90" s="4"/>
      <c r="X90" s="5">
        <f t="shared" si="67"/>
        <v>0</v>
      </c>
      <c r="Y90" s="6" t="str">
        <f t="shared" si="68"/>
        <v/>
      </c>
      <c r="Z90" s="4"/>
      <c r="AA90" s="4"/>
      <c r="AB90" s="5">
        <f t="shared" si="69"/>
        <v>0</v>
      </c>
      <c r="AC90" s="6" t="str">
        <f t="shared" si="70"/>
        <v/>
      </c>
      <c r="AD90" s="4"/>
      <c r="AE90" s="4"/>
      <c r="AF90" s="5">
        <f t="shared" si="71"/>
        <v>0</v>
      </c>
      <c r="AG90" s="6" t="str">
        <f t="shared" si="72"/>
        <v/>
      </c>
      <c r="AH90" s="4"/>
      <c r="AI90" s="4"/>
      <c r="AJ90" s="5">
        <f t="shared" si="73"/>
        <v>0</v>
      </c>
      <c r="AK90" s="6" t="str">
        <f t="shared" si="74"/>
        <v/>
      </c>
      <c r="AL90" s="4"/>
      <c r="AM90" s="4"/>
      <c r="AN90" s="5">
        <f t="shared" si="75"/>
        <v>0</v>
      </c>
      <c r="AO90" s="6" t="str">
        <f t="shared" si="76"/>
        <v/>
      </c>
      <c r="AP90" s="4"/>
      <c r="AQ90" s="4"/>
      <c r="AR90" s="5">
        <f t="shared" si="77"/>
        <v>0</v>
      </c>
      <c r="AS90" s="6" t="str">
        <f t="shared" si="78"/>
        <v/>
      </c>
      <c r="AT90" s="4"/>
      <c r="AU90" s="4"/>
      <c r="AV90" s="5">
        <f t="shared" si="79"/>
        <v>0</v>
      </c>
      <c r="AW90" s="6" t="str">
        <f t="shared" si="80"/>
        <v/>
      </c>
      <c r="AX90" s="5">
        <f t="shared" si="81"/>
        <v>881.37</v>
      </c>
      <c r="AY90" s="5">
        <f t="shared" si="82"/>
        <v>0</v>
      </c>
      <c r="AZ90" s="5">
        <f t="shared" si="83"/>
        <v>881.37</v>
      </c>
      <c r="BA90" s="6" t="str">
        <f t="shared" si="84"/>
        <v/>
      </c>
    </row>
    <row r="91" spans="1:53" x14ac:dyDescent="0.25">
      <c r="A91" s="3" t="s">
        <v>104</v>
      </c>
      <c r="B91" s="4"/>
      <c r="C91" s="4"/>
      <c r="D91" s="5">
        <f t="shared" si="57"/>
        <v>0</v>
      </c>
      <c r="E91" s="6" t="str">
        <f t="shared" si="58"/>
        <v/>
      </c>
      <c r="F91" s="4"/>
      <c r="G91" s="4"/>
      <c r="H91" s="5">
        <f t="shared" si="59"/>
        <v>0</v>
      </c>
      <c r="I91" s="6" t="str">
        <f t="shared" si="60"/>
        <v/>
      </c>
      <c r="J91" s="4"/>
      <c r="K91" s="4"/>
      <c r="L91" s="5">
        <f t="shared" si="61"/>
        <v>0</v>
      </c>
      <c r="M91" s="6" t="str">
        <f t="shared" si="62"/>
        <v/>
      </c>
      <c r="N91" s="5">
        <f>78.2</f>
        <v>78.2</v>
      </c>
      <c r="O91" s="4"/>
      <c r="P91" s="5">
        <f t="shared" si="63"/>
        <v>78.2</v>
      </c>
      <c r="Q91" s="6" t="str">
        <f t="shared" si="64"/>
        <v/>
      </c>
      <c r="R91" s="5">
        <f>396.38</f>
        <v>396.38</v>
      </c>
      <c r="S91" s="4"/>
      <c r="T91" s="5">
        <f t="shared" si="65"/>
        <v>396.38</v>
      </c>
      <c r="U91" s="6" t="str">
        <f t="shared" si="66"/>
        <v/>
      </c>
      <c r="V91" s="4"/>
      <c r="W91" s="4"/>
      <c r="X91" s="5">
        <f t="shared" si="67"/>
        <v>0</v>
      </c>
      <c r="Y91" s="6" t="str">
        <f t="shared" si="68"/>
        <v/>
      </c>
      <c r="Z91" s="4"/>
      <c r="AA91" s="4"/>
      <c r="AB91" s="5">
        <f t="shared" si="69"/>
        <v>0</v>
      </c>
      <c r="AC91" s="6" t="str">
        <f t="shared" si="70"/>
        <v/>
      </c>
      <c r="AD91" s="4"/>
      <c r="AE91" s="4"/>
      <c r="AF91" s="5">
        <f t="shared" si="71"/>
        <v>0</v>
      </c>
      <c r="AG91" s="6" t="str">
        <f t="shared" si="72"/>
        <v/>
      </c>
      <c r="AH91" s="4"/>
      <c r="AI91" s="4"/>
      <c r="AJ91" s="5">
        <f t="shared" si="73"/>
        <v>0</v>
      </c>
      <c r="AK91" s="6" t="str">
        <f t="shared" si="74"/>
        <v/>
      </c>
      <c r="AL91" s="4"/>
      <c r="AM91" s="4"/>
      <c r="AN91" s="5">
        <f t="shared" si="75"/>
        <v>0</v>
      </c>
      <c r="AO91" s="6" t="str">
        <f t="shared" si="76"/>
        <v/>
      </c>
      <c r="AP91" s="4"/>
      <c r="AQ91" s="4"/>
      <c r="AR91" s="5">
        <f t="shared" si="77"/>
        <v>0</v>
      </c>
      <c r="AS91" s="6" t="str">
        <f t="shared" si="78"/>
        <v/>
      </c>
      <c r="AT91" s="4"/>
      <c r="AU91" s="4"/>
      <c r="AV91" s="5">
        <f t="shared" si="79"/>
        <v>0</v>
      </c>
      <c r="AW91" s="6" t="str">
        <f t="shared" si="80"/>
        <v/>
      </c>
      <c r="AX91" s="5">
        <f t="shared" si="81"/>
        <v>474.58</v>
      </c>
      <c r="AY91" s="5">
        <f t="shared" si="82"/>
        <v>0</v>
      </c>
      <c r="AZ91" s="5">
        <f t="shared" si="83"/>
        <v>474.58</v>
      </c>
      <c r="BA91" s="6" t="str">
        <f t="shared" si="84"/>
        <v/>
      </c>
    </row>
    <row r="92" spans="1:53" x14ac:dyDescent="0.25">
      <c r="A92" s="3" t="s">
        <v>105</v>
      </c>
      <c r="B92" s="4"/>
      <c r="C92" s="4"/>
      <c r="D92" s="5">
        <f t="shared" si="57"/>
        <v>0</v>
      </c>
      <c r="E92" s="6" t="str">
        <f t="shared" si="58"/>
        <v/>
      </c>
      <c r="F92" s="4"/>
      <c r="G92" s="4"/>
      <c r="H92" s="5">
        <f t="shared" si="59"/>
        <v>0</v>
      </c>
      <c r="I92" s="6" t="str">
        <f t="shared" si="60"/>
        <v/>
      </c>
      <c r="J92" s="4"/>
      <c r="K92" s="4"/>
      <c r="L92" s="5">
        <f t="shared" si="61"/>
        <v>0</v>
      </c>
      <c r="M92" s="6" t="str">
        <f t="shared" si="62"/>
        <v/>
      </c>
      <c r="N92" s="5">
        <f>0</f>
        <v>0</v>
      </c>
      <c r="O92" s="4"/>
      <c r="P92" s="5">
        <f t="shared" si="63"/>
        <v>0</v>
      </c>
      <c r="Q92" s="6" t="str">
        <f t="shared" si="64"/>
        <v/>
      </c>
      <c r="R92" s="5">
        <f>0</f>
        <v>0</v>
      </c>
      <c r="S92" s="4"/>
      <c r="T92" s="5">
        <f t="shared" si="65"/>
        <v>0</v>
      </c>
      <c r="U92" s="6" t="str">
        <f t="shared" si="66"/>
        <v/>
      </c>
      <c r="V92" s="4"/>
      <c r="W92" s="4"/>
      <c r="X92" s="5">
        <f t="shared" si="67"/>
        <v>0</v>
      </c>
      <c r="Y92" s="6" t="str">
        <f t="shared" si="68"/>
        <v/>
      </c>
      <c r="Z92" s="4"/>
      <c r="AA92" s="4"/>
      <c r="AB92" s="5">
        <f t="shared" si="69"/>
        <v>0</v>
      </c>
      <c r="AC92" s="6" t="str">
        <f t="shared" si="70"/>
        <v/>
      </c>
      <c r="AD92" s="4"/>
      <c r="AE92" s="4"/>
      <c r="AF92" s="5">
        <f t="shared" si="71"/>
        <v>0</v>
      </c>
      <c r="AG92" s="6" t="str">
        <f t="shared" si="72"/>
        <v/>
      </c>
      <c r="AH92" s="4"/>
      <c r="AI92" s="4"/>
      <c r="AJ92" s="5">
        <f t="shared" si="73"/>
        <v>0</v>
      </c>
      <c r="AK92" s="6" t="str">
        <f t="shared" si="74"/>
        <v/>
      </c>
      <c r="AL92" s="4"/>
      <c r="AM92" s="4"/>
      <c r="AN92" s="5">
        <f t="shared" si="75"/>
        <v>0</v>
      </c>
      <c r="AO92" s="6" t="str">
        <f t="shared" si="76"/>
        <v/>
      </c>
      <c r="AP92" s="4"/>
      <c r="AQ92" s="4"/>
      <c r="AR92" s="5">
        <f t="shared" si="77"/>
        <v>0</v>
      </c>
      <c r="AS92" s="6" t="str">
        <f t="shared" si="78"/>
        <v/>
      </c>
      <c r="AT92" s="4"/>
      <c r="AU92" s="4"/>
      <c r="AV92" s="5">
        <f t="shared" si="79"/>
        <v>0</v>
      </c>
      <c r="AW92" s="6" t="str">
        <f t="shared" si="80"/>
        <v/>
      </c>
      <c r="AX92" s="5">
        <f t="shared" si="81"/>
        <v>0</v>
      </c>
      <c r="AY92" s="5">
        <f t="shared" si="82"/>
        <v>0</v>
      </c>
      <c r="AZ92" s="5">
        <f t="shared" si="83"/>
        <v>0</v>
      </c>
      <c r="BA92" s="6" t="str">
        <f t="shared" si="84"/>
        <v/>
      </c>
    </row>
    <row r="93" spans="1:53" x14ac:dyDescent="0.25">
      <c r="A93" s="3" t="s">
        <v>106</v>
      </c>
      <c r="B93" s="7">
        <f>(((B89)+(B90))+(B91))+(B92)</f>
        <v>0</v>
      </c>
      <c r="C93" s="7">
        <f>(((C89)+(C90))+(C91))+(C92)</f>
        <v>0</v>
      </c>
      <c r="D93" s="7">
        <f t="shared" si="57"/>
        <v>0</v>
      </c>
      <c r="E93" s="8" t="str">
        <f t="shared" si="58"/>
        <v/>
      </c>
      <c r="F93" s="7">
        <f>(((F89)+(F90))+(F91))+(F92)</f>
        <v>0</v>
      </c>
      <c r="G93" s="7">
        <f>(((G89)+(G90))+(G91))+(G92)</f>
        <v>0</v>
      </c>
      <c r="H93" s="7">
        <f t="shared" si="59"/>
        <v>0</v>
      </c>
      <c r="I93" s="8" t="str">
        <f t="shared" si="60"/>
        <v/>
      </c>
      <c r="J93" s="7">
        <f>(((J89)+(J90))+(J91))+(J92)</f>
        <v>0</v>
      </c>
      <c r="K93" s="7">
        <f>(((K89)+(K90))+(K91))+(K92)</f>
        <v>0</v>
      </c>
      <c r="L93" s="7">
        <f t="shared" si="61"/>
        <v>0</v>
      </c>
      <c r="M93" s="8" t="str">
        <f t="shared" si="62"/>
        <v/>
      </c>
      <c r="N93" s="7">
        <f>(((N89)+(N90))+(N91))+(N92)</f>
        <v>223.44</v>
      </c>
      <c r="O93" s="7">
        <f>(((O89)+(O90))+(O91))+(O92)</f>
        <v>0</v>
      </c>
      <c r="P93" s="7">
        <f t="shared" si="63"/>
        <v>223.44</v>
      </c>
      <c r="Q93" s="8" t="str">
        <f t="shared" si="64"/>
        <v/>
      </c>
      <c r="R93" s="7">
        <f>(((R89)+(R90))+(R91))+(R92)</f>
        <v>1132.51</v>
      </c>
      <c r="S93" s="7">
        <f>(((S89)+(S90))+(S91))+(S92)</f>
        <v>0</v>
      </c>
      <c r="T93" s="7">
        <f t="shared" si="65"/>
        <v>1132.51</v>
      </c>
      <c r="U93" s="8" t="str">
        <f t="shared" si="66"/>
        <v/>
      </c>
      <c r="V93" s="7">
        <f>(((V89)+(V90))+(V91))+(V92)</f>
        <v>0</v>
      </c>
      <c r="W93" s="7">
        <f>(((W89)+(W90))+(W91))+(W92)</f>
        <v>0</v>
      </c>
      <c r="X93" s="7">
        <f t="shared" si="67"/>
        <v>0</v>
      </c>
      <c r="Y93" s="8" t="str">
        <f t="shared" si="68"/>
        <v/>
      </c>
      <c r="Z93" s="7">
        <f>(((Z89)+(Z90))+(Z91))+(Z92)</f>
        <v>0</v>
      </c>
      <c r="AA93" s="7">
        <f>(((AA89)+(AA90))+(AA91))+(AA92)</f>
        <v>0</v>
      </c>
      <c r="AB93" s="7">
        <f t="shared" si="69"/>
        <v>0</v>
      </c>
      <c r="AC93" s="8" t="str">
        <f t="shared" si="70"/>
        <v/>
      </c>
      <c r="AD93" s="7">
        <f>(((AD89)+(AD90))+(AD91))+(AD92)</f>
        <v>0</v>
      </c>
      <c r="AE93" s="7">
        <f>(((AE89)+(AE90))+(AE91))+(AE92)</f>
        <v>0</v>
      </c>
      <c r="AF93" s="7">
        <f t="shared" si="71"/>
        <v>0</v>
      </c>
      <c r="AG93" s="8" t="str">
        <f t="shared" si="72"/>
        <v/>
      </c>
      <c r="AH93" s="7">
        <f>(((AH89)+(AH90))+(AH91))+(AH92)</f>
        <v>0</v>
      </c>
      <c r="AI93" s="7">
        <f>(((AI89)+(AI90))+(AI91))+(AI92)</f>
        <v>0</v>
      </c>
      <c r="AJ93" s="7">
        <f t="shared" si="73"/>
        <v>0</v>
      </c>
      <c r="AK93" s="8" t="str">
        <f t="shared" si="74"/>
        <v/>
      </c>
      <c r="AL93" s="7">
        <f>(((AL89)+(AL90))+(AL91))+(AL92)</f>
        <v>0</v>
      </c>
      <c r="AM93" s="7">
        <f>(((AM89)+(AM90))+(AM91))+(AM92)</f>
        <v>0</v>
      </c>
      <c r="AN93" s="7">
        <f t="shared" si="75"/>
        <v>0</v>
      </c>
      <c r="AO93" s="8" t="str">
        <f t="shared" si="76"/>
        <v/>
      </c>
      <c r="AP93" s="7">
        <f>(((AP89)+(AP90))+(AP91))+(AP92)</f>
        <v>0</v>
      </c>
      <c r="AQ93" s="7">
        <f>(((AQ89)+(AQ90))+(AQ91))+(AQ92)</f>
        <v>0</v>
      </c>
      <c r="AR93" s="7">
        <f t="shared" si="77"/>
        <v>0</v>
      </c>
      <c r="AS93" s="8" t="str">
        <f t="shared" si="78"/>
        <v/>
      </c>
      <c r="AT93" s="7">
        <f>(((AT89)+(AT90))+(AT91))+(AT92)</f>
        <v>0</v>
      </c>
      <c r="AU93" s="7">
        <f>(((AU89)+(AU90))+(AU91))+(AU92)</f>
        <v>0</v>
      </c>
      <c r="AV93" s="7">
        <f t="shared" si="79"/>
        <v>0</v>
      </c>
      <c r="AW93" s="8" t="str">
        <f t="shared" si="80"/>
        <v/>
      </c>
      <c r="AX93" s="7">
        <f t="shared" si="81"/>
        <v>1355.95</v>
      </c>
      <c r="AY93" s="7">
        <f t="shared" si="82"/>
        <v>0</v>
      </c>
      <c r="AZ93" s="7">
        <f t="shared" si="83"/>
        <v>1355.95</v>
      </c>
      <c r="BA93" s="8" t="str">
        <f t="shared" si="84"/>
        <v/>
      </c>
    </row>
    <row r="94" spans="1:53" x14ac:dyDescent="0.25">
      <c r="A94" s="3" t="s">
        <v>107</v>
      </c>
      <c r="B94" s="4"/>
      <c r="C94" s="5">
        <f>207</f>
        <v>207</v>
      </c>
      <c r="D94" s="5">
        <f t="shared" si="57"/>
        <v>-207</v>
      </c>
      <c r="E94" s="6">
        <f t="shared" si="58"/>
        <v>0</v>
      </c>
      <c r="F94" s="4"/>
      <c r="G94" s="5">
        <f>207</f>
        <v>207</v>
      </c>
      <c r="H94" s="5">
        <f t="shared" si="59"/>
        <v>-207</v>
      </c>
      <c r="I94" s="6">
        <f t="shared" si="60"/>
        <v>0</v>
      </c>
      <c r="J94" s="4"/>
      <c r="K94" s="5">
        <f>207</f>
        <v>207</v>
      </c>
      <c r="L94" s="5">
        <f t="shared" si="61"/>
        <v>-207</v>
      </c>
      <c r="M94" s="6">
        <f t="shared" si="62"/>
        <v>0</v>
      </c>
      <c r="N94" s="4"/>
      <c r="O94" s="5">
        <f>207</f>
        <v>207</v>
      </c>
      <c r="P94" s="5">
        <f t="shared" si="63"/>
        <v>-207</v>
      </c>
      <c r="Q94" s="6">
        <f t="shared" si="64"/>
        <v>0</v>
      </c>
      <c r="R94" s="4"/>
      <c r="S94" s="5">
        <f>207</f>
        <v>207</v>
      </c>
      <c r="T94" s="5">
        <f t="shared" si="65"/>
        <v>-207</v>
      </c>
      <c r="U94" s="6">
        <f t="shared" si="66"/>
        <v>0</v>
      </c>
      <c r="V94" s="4"/>
      <c r="W94" s="5">
        <f>207</f>
        <v>207</v>
      </c>
      <c r="X94" s="5">
        <f t="shared" si="67"/>
        <v>-207</v>
      </c>
      <c r="Y94" s="6">
        <f t="shared" si="68"/>
        <v>0</v>
      </c>
      <c r="Z94" s="4"/>
      <c r="AA94" s="5">
        <f>207</f>
        <v>207</v>
      </c>
      <c r="AB94" s="5">
        <f t="shared" si="69"/>
        <v>-207</v>
      </c>
      <c r="AC94" s="6">
        <f t="shared" si="70"/>
        <v>0</v>
      </c>
      <c r="AD94" s="4"/>
      <c r="AE94" s="5">
        <f>207</f>
        <v>207</v>
      </c>
      <c r="AF94" s="5">
        <f t="shared" si="71"/>
        <v>-207</v>
      </c>
      <c r="AG94" s="6">
        <f t="shared" si="72"/>
        <v>0</v>
      </c>
      <c r="AH94" s="4"/>
      <c r="AI94" s="5">
        <f>207</f>
        <v>207</v>
      </c>
      <c r="AJ94" s="5">
        <f t="shared" si="73"/>
        <v>-207</v>
      </c>
      <c r="AK94" s="6">
        <f t="shared" si="74"/>
        <v>0</v>
      </c>
      <c r="AL94" s="4"/>
      <c r="AM94" s="5">
        <f>207</f>
        <v>207</v>
      </c>
      <c r="AN94" s="5">
        <f t="shared" si="75"/>
        <v>-207</v>
      </c>
      <c r="AO94" s="6">
        <f t="shared" si="76"/>
        <v>0</v>
      </c>
      <c r="AP94" s="4"/>
      <c r="AQ94" s="5">
        <f>207</f>
        <v>207</v>
      </c>
      <c r="AR94" s="5">
        <f t="shared" si="77"/>
        <v>-207</v>
      </c>
      <c r="AS94" s="6">
        <f t="shared" si="78"/>
        <v>0</v>
      </c>
      <c r="AT94" s="4"/>
      <c r="AU94" s="5">
        <f>207</f>
        <v>207</v>
      </c>
      <c r="AV94" s="5">
        <f t="shared" si="79"/>
        <v>-207</v>
      </c>
      <c r="AW94" s="6">
        <f t="shared" si="80"/>
        <v>0</v>
      </c>
      <c r="AX94" s="5">
        <f t="shared" si="81"/>
        <v>0</v>
      </c>
      <c r="AY94" s="5">
        <f t="shared" si="82"/>
        <v>2484</v>
      </c>
      <c r="AZ94" s="5">
        <f t="shared" si="83"/>
        <v>-2484</v>
      </c>
      <c r="BA94" s="6">
        <f t="shared" si="84"/>
        <v>0</v>
      </c>
    </row>
    <row r="95" spans="1:53" x14ac:dyDescent="0.25">
      <c r="A95" s="3" t="s">
        <v>108</v>
      </c>
      <c r="B95" s="4"/>
      <c r="C95" s="4"/>
      <c r="D95" s="5">
        <f t="shared" si="57"/>
        <v>0</v>
      </c>
      <c r="E95" s="6" t="str">
        <f t="shared" si="58"/>
        <v/>
      </c>
      <c r="F95" s="4"/>
      <c r="G95" s="4"/>
      <c r="H95" s="5">
        <f t="shared" si="59"/>
        <v>0</v>
      </c>
      <c r="I95" s="6" t="str">
        <f t="shared" si="60"/>
        <v/>
      </c>
      <c r="J95" s="4"/>
      <c r="K95" s="4"/>
      <c r="L95" s="5">
        <f t="shared" si="61"/>
        <v>0</v>
      </c>
      <c r="M95" s="6" t="str">
        <f t="shared" si="62"/>
        <v/>
      </c>
      <c r="N95" s="4"/>
      <c r="O95" s="4"/>
      <c r="P95" s="5">
        <f t="shared" si="63"/>
        <v>0</v>
      </c>
      <c r="Q95" s="6" t="str">
        <f t="shared" si="64"/>
        <v/>
      </c>
      <c r="R95" s="4"/>
      <c r="S95" s="4"/>
      <c r="T95" s="5">
        <f t="shared" si="65"/>
        <v>0</v>
      </c>
      <c r="U95" s="6" t="str">
        <f t="shared" si="66"/>
        <v/>
      </c>
      <c r="V95" s="5">
        <f>781.01</f>
        <v>781.01</v>
      </c>
      <c r="W95" s="4"/>
      <c r="X95" s="5">
        <f t="shared" si="67"/>
        <v>781.01</v>
      </c>
      <c r="Y95" s="6" t="str">
        <f t="shared" si="68"/>
        <v/>
      </c>
      <c r="Z95" s="4"/>
      <c r="AA95" s="4"/>
      <c r="AB95" s="5">
        <f t="shared" si="69"/>
        <v>0</v>
      </c>
      <c r="AC95" s="6" t="str">
        <f t="shared" si="70"/>
        <v/>
      </c>
      <c r="AD95" s="4"/>
      <c r="AE95" s="4"/>
      <c r="AF95" s="5">
        <f t="shared" si="71"/>
        <v>0</v>
      </c>
      <c r="AG95" s="6" t="str">
        <f t="shared" si="72"/>
        <v/>
      </c>
      <c r="AH95" s="4"/>
      <c r="AI95" s="4"/>
      <c r="AJ95" s="5">
        <f t="shared" si="73"/>
        <v>0</v>
      </c>
      <c r="AK95" s="6" t="str">
        <f t="shared" si="74"/>
        <v/>
      </c>
      <c r="AL95" s="4"/>
      <c r="AM95" s="4"/>
      <c r="AN95" s="5">
        <f t="shared" si="75"/>
        <v>0</v>
      </c>
      <c r="AO95" s="6" t="str">
        <f t="shared" si="76"/>
        <v/>
      </c>
      <c r="AP95" s="5">
        <f>109.55</f>
        <v>109.55</v>
      </c>
      <c r="AQ95" s="4"/>
      <c r="AR95" s="5">
        <f t="shared" si="77"/>
        <v>109.55</v>
      </c>
      <c r="AS95" s="6" t="str">
        <f t="shared" si="78"/>
        <v/>
      </c>
      <c r="AT95" s="4"/>
      <c r="AU95" s="4"/>
      <c r="AV95" s="5">
        <f t="shared" si="79"/>
        <v>0</v>
      </c>
      <c r="AW95" s="6" t="str">
        <f t="shared" si="80"/>
        <v/>
      </c>
      <c r="AX95" s="5">
        <f t="shared" si="81"/>
        <v>890.56</v>
      </c>
      <c r="AY95" s="5">
        <f t="shared" si="82"/>
        <v>0</v>
      </c>
      <c r="AZ95" s="5">
        <f t="shared" si="83"/>
        <v>890.56</v>
      </c>
      <c r="BA95" s="6" t="str">
        <f t="shared" si="84"/>
        <v/>
      </c>
    </row>
    <row r="96" spans="1:53" x14ac:dyDescent="0.25">
      <c r="A96" s="3" t="s">
        <v>109</v>
      </c>
      <c r="B96" s="4"/>
      <c r="C96" s="4"/>
      <c r="D96" s="5">
        <f t="shared" si="57"/>
        <v>0</v>
      </c>
      <c r="E96" s="6" t="str">
        <f t="shared" si="58"/>
        <v/>
      </c>
      <c r="F96" s="4"/>
      <c r="G96" s="4"/>
      <c r="H96" s="5">
        <f t="shared" si="59"/>
        <v>0</v>
      </c>
      <c r="I96" s="6" t="str">
        <f t="shared" si="60"/>
        <v/>
      </c>
      <c r="J96" s="4"/>
      <c r="K96" s="4"/>
      <c r="L96" s="5">
        <f t="shared" si="61"/>
        <v>0</v>
      </c>
      <c r="M96" s="6" t="str">
        <f t="shared" si="62"/>
        <v/>
      </c>
      <c r="N96" s="4"/>
      <c r="O96" s="4"/>
      <c r="P96" s="5">
        <f t="shared" si="63"/>
        <v>0</v>
      </c>
      <c r="Q96" s="6" t="str">
        <f t="shared" si="64"/>
        <v/>
      </c>
      <c r="R96" s="4"/>
      <c r="S96" s="4"/>
      <c r="T96" s="5">
        <f t="shared" si="65"/>
        <v>0</v>
      </c>
      <c r="U96" s="6" t="str">
        <f t="shared" si="66"/>
        <v/>
      </c>
      <c r="V96" s="5">
        <f>420.54</f>
        <v>420.54</v>
      </c>
      <c r="W96" s="4"/>
      <c r="X96" s="5">
        <f t="shared" si="67"/>
        <v>420.54</v>
      </c>
      <c r="Y96" s="6" t="str">
        <f t="shared" si="68"/>
        <v/>
      </c>
      <c r="Z96" s="4"/>
      <c r="AA96" s="4"/>
      <c r="AB96" s="5">
        <f t="shared" si="69"/>
        <v>0</v>
      </c>
      <c r="AC96" s="6" t="str">
        <f t="shared" si="70"/>
        <v/>
      </c>
      <c r="AD96" s="4"/>
      <c r="AE96" s="4"/>
      <c r="AF96" s="5">
        <f t="shared" si="71"/>
        <v>0</v>
      </c>
      <c r="AG96" s="6" t="str">
        <f t="shared" si="72"/>
        <v/>
      </c>
      <c r="AH96" s="4"/>
      <c r="AI96" s="4"/>
      <c r="AJ96" s="5">
        <f t="shared" si="73"/>
        <v>0</v>
      </c>
      <c r="AK96" s="6" t="str">
        <f t="shared" si="74"/>
        <v/>
      </c>
      <c r="AL96" s="4"/>
      <c r="AM96" s="4"/>
      <c r="AN96" s="5">
        <f t="shared" si="75"/>
        <v>0</v>
      </c>
      <c r="AO96" s="6" t="str">
        <f t="shared" si="76"/>
        <v/>
      </c>
      <c r="AP96" s="5">
        <f>58.99</f>
        <v>58.99</v>
      </c>
      <c r="AQ96" s="4"/>
      <c r="AR96" s="5">
        <f t="shared" si="77"/>
        <v>58.99</v>
      </c>
      <c r="AS96" s="6" t="str">
        <f t="shared" si="78"/>
        <v/>
      </c>
      <c r="AT96" s="4"/>
      <c r="AU96" s="4"/>
      <c r="AV96" s="5">
        <f t="shared" si="79"/>
        <v>0</v>
      </c>
      <c r="AW96" s="6" t="str">
        <f t="shared" si="80"/>
        <v/>
      </c>
      <c r="AX96" s="5">
        <f t="shared" si="81"/>
        <v>479.53000000000003</v>
      </c>
      <c r="AY96" s="5">
        <f t="shared" si="82"/>
        <v>0</v>
      </c>
      <c r="AZ96" s="5">
        <f t="shared" si="83"/>
        <v>479.53000000000003</v>
      </c>
      <c r="BA96" s="6" t="str">
        <f t="shared" si="84"/>
        <v/>
      </c>
    </row>
    <row r="97" spans="1:53" x14ac:dyDescent="0.25">
      <c r="A97" s="3" t="s">
        <v>110</v>
      </c>
      <c r="B97" s="4"/>
      <c r="C97" s="4"/>
      <c r="D97" s="5">
        <f t="shared" si="57"/>
        <v>0</v>
      </c>
      <c r="E97" s="6" t="str">
        <f t="shared" si="58"/>
        <v/>
      </c>
      <c r="F97" s="4"/>
      <c r="G97" s="4"/>
      <c r="H97" s="5">
        <f t="shared" si="59"/>
        <v>0</v>
      </c>
      <c r="I97" s="6" t="str">
        <f t="shared" si="60"/>
        <v/>
      </c>
      <c r="J97" s="4"/>
      <c r="K97" s="4"/>
      <c r="L97" s="5">
        <f t="shared" si="61"/>
        <v>0</v>
      </c>
      <c r="M97" s="6" t="str">
        <f t="shared" si="62"/>
        <v/>
      </c>
      <c r="N97" s="4"/>
      <c r="O97" s="4"/>
      <c r="P97" s="5">
        <f t="shared" si="63"/>
        <v>0</v>
      </c>
      <c r="Q97" s="6" t="str">
        <f t="shared" si="64"/>
        <v/>
      </c>
      <c r="R97" s="4"/>
      <c r="S97" s="4"/>
      <c r="T97" s="5">
        <f t="shared" si="65"/>
        <v>0</v>
      </c>
      <c r="U97" s="6" t="str">
        <f t="shared" si="66"/>
        <v/>
      </c>
      <c r="V97" s="5">
        <f>0</f>
        <v>0</v>
      </c>
      <c r="W97" s="4"/>
      <c r="X97" s="5">
        <f t="shared" si="67"/>
        <v>0</v>
      </c>
      <c r="Y97" s="6" t="str">
        <f t="shared" si="68"/>
        <v/>
      </c>
      <c r="Z97" s="4"/>
      <c r="AA97" s="4"/>
      <c r="AB97" s="5">
        <f t="shared" si="69"/>
        <v>0</v>
      </c>
      <c r="AC97" s="6" t="str">
        <f t="shared" si="70"/>
        <v/>
      </c>
      <c r="AD97" s="4"/>
      <c r="AE97" s="4"/>
      <c r="AF97" s="5">
        <f t="shared" si="71"/>
        <v>0</v>
      </c>
      <c r="AG97" s="6" t="str">
        <f t="shared" si="72"/>
        <v/>
      </c>
      <c r="AH97" s="4"/>
      <c r="AI97" s="4"/>
      <c r="AJ97" s="5">
        <f t="shared" si="73"/>
        <v>0</v>
      </c>
      <c r="AK97" s="6" t="str">
        <f t="shared" si="74"/>
        <v/>
      </c>
      <c r="AL97" s="4"/>
      <c r="AM97" s="4"/>
      <c r="AN97" s="5">
        <f t="shared" si="75"/>
        <v>0</v>
      </c>
      <c r="AO97" s="6" t="str">
        <f t="shared" si="76"/>
        <v/>
      </c>
      <c r="AP97" s="5">
        <f>0</f>
        <v>0</v>
      </c>
      <c r="AQ97" s="4"/>
      <c r="AR97" s="5">
        <f t="shared" si="77"/>
        <v>0</v>
      </c>
      <c r="AS97" s="6" t="str">
        <f t="shared" si="78"/>
        <v/>
      </c>
      <c r="AT97" s="4"/>
      <c r="AU97" s="4"/>
      <c r="AV97" s="5">
        <f t="shared" si="79"/>
        <v>0</v>
      </c>
      <c r="AW97" s="6" t="str">
        <f t="shared" si="80"/>
        <v/>
      </c>
      <c r="AX97" s="5">
        <f t="shared" si="81"/>
        <v>0</v>
      </c>
      <c r="AY97" s="5">
        <f t="shared" si="82"/>
        <v>0</v>
      </c>
      <c r="AZ97" s="5">
        <f t="shared" si="83"/>
        <v>0</v>
      </c>
      <c r="BA97" s="6" t="str">
        <f t="shared" si="84"/>
        <v/>
      </c>
    </row>
    <row r="98" spans="1:53" x14ac:dyDescent="0.25">
      <c r="A98" s="3" t="s">
        <v>111</v>
      </c>
      <c r="B98" s="7">
        <f>(((B94)+(B95))+(B96))+(B97)</f>
        <v>0</v>
      </c>
      <c r="C98" s="7">
        <f>(((C94)+(C95))+(C96))+(C97)</f>
        <v>207</v>
      </c>
      <c r="D98" s="7">
        <f t="shared" si="57"/>
        <v>-207</v>
      </c>
      <c r="E98" s="8">
        <f t="shared" si="58"/>
        <v>0</v>
      </c>
      <c r="F98" s="7">
        <f>(((F94)+(F95))+(F96))+(F97)</f>
        <v>0</v>
      </c>
      <c r="G98" s="7">
        <f>(((G94)+(G95))+(G96))+(G97)</f>
        <v>207</v>
      </c>
      <c r="H98" s="7">
        <f t="shared" si="59"/>
        <v>-207</v>
      </c>
      <c r="I98" s="8">
        <f t="shared" si="60"/>
        <v>0</v>
      </c>
      <c r="J98" s="7">
        <f>(((J94)+(J95))+(J96))+(J97)</f>
        <v>0</v>
      </c>
      <c r="K98" s="7">
        <f>(((K94)+(K95))+(K96))+(K97)</f>
        <v>207</v>
      </c>
      <c r="L98" s="7">
        <f t="shared" si="61"/>
        <v>-207</v>
      </c>
      <c r="M98" s="8">
        <f t="shared" si="62"/>
        <v>0</v>
      </c>
      <c r="N98" s="7">
        <f>(((N94)+(N95))+(N96))+(N97)</f>
        <v>0</v>
      </c>
      <c r="O98" s="7">
        <f>(((O94)+(O95))+(O96))+(O97)</f>
        <v>207</v>
      </c>
      <c r="P98" s="7">
        <f t="shared" si="63"/>
        <v>-207</v>
      </c>
      <c r="Q98" s="8">
        <f t="shared" si="64"/>
        <v>0</v>
      </c>
      <c r="R98" s="7">
        <f>(((R94)+(R95))+(R96))+(R97)</f>
        <v>0</v>
      </c>
      <c r="S98" s="7">
        <f>(((S94)+(S95))+(S96))+(S97)</f>
        <v>207</v>
      </c>
      <c r="T98" s="7">
        <f t="shared" si="65"/>
        <v>-207</v>
      </c>
      <c r="U98" s="8">
        <f t="shared" si="66"/>
        <v>0</v>
      </c>
      <c r="V98" s="7">
        <f>(((V94)+(V95))+(V96))+(V97)</f>
        <v>1201.55</v>
      </c>
      <c r="W98" s="7">
        <f>(((W94)+(W95))+(W96))+(W97)</f>
        <v>207</v>
      </c>
      <c r="X98" s="7">
        <f t="shared" si="67"/>
        <v>994.55</v>
      </c>
      <c r="Y98" s="8">
        <f t="shared" si="68"/>
        <v>5.8045893719806765</v>
      </c>
      <c r="Z98" s="7">
        <f>(((Z94)+(Z95))+(Z96))+(Z97)</f>
        <v>0</v>
      </c>
      <c r="AA98" s="7">
        <f>(((AA94)+(AA95))+(AA96))+(AA97)</f>
        <v>207</v>
      </c>
      <c r="AB98" s="7">
        <f t="shared" si="69"/>
        <v>-207</v>
      </c>
      <c r="AC98" s="8">
        <f t="shared" si="70"/>
        <v>0</v>
      </c>
      <c r="AD98" s="7">
        <f>(((AD94)+(AD95))+(AD96))+(AD97)</f>
        <v>0</v>
      </c>
      <c r="AE98" s="7">
        <f>(((AE94)+(AE95))+(AE96))+(AE97)</f>
        <v>207</v>
      </c>
      <c r="AF98" s="7">
        <f t="shared" si="71"/>
        <v>-207</v>
      </c>
      <c r="AG98" s="8">
        <f t="shared" si="72"/>
        <v>0</v>
      </c>
      <c r="AH98" s="7">
        <f>(((AH94)+(AH95))+(AH96))+(AH97)</f>
        <v>0</v>
      </c>
      <c r="AI98" s="7">
        <f>(((AI94)+(AI95))+(AI96))+(AI97)</f>
        <v>207</v>
      </c>
      <c r="AJ98" s="7">
        <f t="shared" si="73"/>
        <v>-207</v>
      </c>
      <c r="AK98" s="8">
        <f t="shared" si="74"/>
        <v>0</v>
      </c>
      <c r="AL98" s="7">
        <f>(((AL94)+(AL95))+(AL96))+(AL97)</f>
        <v>0</v>
      </c>
      <c r="AM98" s="7">
        <f>(((AM94)+(AM95))+(AM96))+(AM97)</f>
        <v>207</v>
      </c>
      <c r="AN98" s="7">
        <f t="shared" si="75"/>
        <v>-207</v>
      </c>
      <c r="AO98" s="8">
        <f t="shared" si="76"/>
        <v>0</v>
      </c>
      <c r="AP98" s="7">
        <f>(((AP94)+(AP95))+(AP96))+(AP97)</f>
        <v>168.54</v>
      </c>
      <c r="AQ98" s="7">
        <f>(((AQ94)+(AQ95))+(AQ96))+(AQ97)</f>
        <v>207</v>
      </c>
      <c r="AR98" s="7">
        <f t="shared" si="77"/>
        <v>-38.460000000000008</v>
      </c>
      <c r="AS98" s="8">
        <f t="shared" si="78"/>
        <v>0.81420289855072459</v>
      </c>
      <c r="AT98" s="7">
        <f>(((AT94)+(AT95))+(AT96))+(AT97)</f>
        <v>0</v>
      </c>
      <c r="AU98" s="7">
        <f>(((AU94)+(AU95))+(AU96))+(AU97)</f>
        <v>207</v>
      </c>
      <c r="AV98" s="7">
        <f t="shared" si="79"/>
        <v>-207</v>
      </c>
      <c r="AW98" s="8">
        <f t="shared" si="80"/>
        <v>0</v>
      </c>
      <c r="AX98" s="7">
        <f t="shared" si="81"/>
        <v>1370.09</v>
      </c>
      <c r="AY98" s="7">
        <f t="shared" si="82"/>
        <v>2484</v>
      </c>
      <c r="AZ98" s="7">
        <f t="shared" si="83"/>
        <v>-1113.9100000000001</v>
      </c>
      <c r="BA98" s="8">
        <f t="shared" si="84"/>
        <v>0.55156602254428333</v>
      </c>
    </row>
    <row r="99" spans="1:53" x14ac:dyDescent="0.25">
      <c r="A99" s="3" t="s">
        <v>112</v>
      </c>
      <c r="B99" s="4"/>
      <c r="C99" s="5">
        <f>1416.67</f>
        <v>1416.67</v>
      </c>
      <c r="D99" s="5">
        <f t="shared" si="57"/>
        <v>-1416.67</v>
      </c>
      <c r="E99" s="6">
        <f t="shared" si="58"/>
        <v>0</v>
      </c>
      <c r="F99" s="4"/>
      <c r="G99" s="5">
        <f>1416.67</f>
        <v>1416.67</v>
      </c>
      <c r="H99" s="5">
        <f t="shared" si="59"/>
        <v>-1416.67</v>
      </c>
      <c r="I99" s="6">
        <f t="shared" si="60"/>
        <v>0</v>
      </c>
      <c r="J99" s="4"/>
      <c r="K99" s="5">
        <f>1416.67</f>
        <v>1416.67</v>
      </c>
      <c r="L99" s="5">
        <f t="shared" si="61"/>
        <v>-1416.67</v>
      </c>
      <c r="M99" s="6">
        <f t="shared" si="62"/>
        <v>0</v>
      </c>
      <c r="N99" s="4"/>
      <c r="O99" s="5">
        <f>1416.67</f>
        <v>1416.67</v>
      </c>
      <c r="P99" s="5">
        <f t="shared" si="63"/>
        <v>-1416.67</v>
      </c>
      <c r="Q99" s="6">
        <f t="shared" si="64"/>
        <v>0</v>
      </c>
      <c r="R99" s="4"/>
      <c r="S99" s="5">
        <f>1416.67</f>
        <v>1416.67</v>
      </c>
      <c r="T99" s="5">
        <f t="shared" si="65"/>
        <v>-1416.67</v>
      </c>
      <c r="U99" s="6">
        <f t="shared" si="66"/>
        <v>0</v>
      </c>
      <c r="V99" s="4"/>
      <c r="W99" s="5">
        <f>1416.67</f>
        <v>1416.67</v>
      </c>
      <c r="X99" s="5">
        <f t="shared" si="67"/>
        <v>-1416.67</v>
      </c>
      <c r="Y99" s="6">
        <f t="shared" si="68"/>
        <v>0</v>
      </c>
      <c r="Z99" s="4"/>
      <c r="AA99" s="5">
        <f>1416.67</f>
        <v>1416.67</v>
      </c>
      <c r="AB99" s="5">
        <f t="shared" si="69"/>
        <v>-1416.67</v>
      </c>
      <c r="AC99" s="6">
        <f t="shared" si="70"/>
        <v>0</v>
      </c>
      <c r="AD99" s="4"/>
      <c r="AE99" s="5">
        <f>1416.67</f>
        <v>1416.67</v>
      </c>
      <c r="AF99" s="5">
        <f t="shared" si="71"/>
        <v>-1416.67</v>
      </c>
      <c r="AG99" s="6">
        <f t="shared" si="72"/>
        <v>0</v>
      </c>
      <c r="AH99" s="4"/>
      <c r="AI99" s="5">
        <f>1416.67</f>
        <v>1416.67</v>
      </c>
      <c r="AJ99" s="5">
        <f t="shared" si="73"/>
        <v>-1416.67</v>
      </c>
      <c r="AK99" s="6">
        <f t="shared" si="74"/>
        <v>0</v>
      </c>
      <c r="AL99" s="4"/>
      <c r="AM99" s="5">
        <f>1416.67</f>
        <v>1416.67</v>
      </c>
      <c r="AN99" s="5">
        <f t="shared" si="75"/>
        <v>-1416.67</v>
      </c>
      <c r="AO99" s="6">
        <f t="shared" si="76"/>
        <v>0</v>
      </c>
      <c r="AP99" s="4"/>
      <c r="AQ99" s="5">
        <f>1416.67</f>
        <v>1416.67</v>
      </c>
      <c r="AR99" s="5">
        <f t="shared" si="77"/>
        <v>-1416.67</v>
      </c>
      <c r="AS99" s="6">
        <f t="shared" si="78"/>
        <v>0</v>
      </c>
      <c r="AT99" s="4"/>
      <c r="AU99" s="5">
        <f>1416.67</f>
        <v>1416.67</v>
      </c>
      <c r="AV99" s="5">
        <f t="shared" si="79"/>
        <v>-1416.67</v>
      </c>
      <c r="AW99" s="6">
        <f t="shared" si="80"/>
        <v>0</v>
      </c>
      <c r="AX99" s="5">
        <f t="shared" si="81"/>
        <v>0</v>
      </c>
      <c r="AY99" s="5">
        <f t="shared" si="82"/>
        <v>17000.04</v>
      </c>
      <c r="AZ99" s="5">
        <f t="shared" si="83"/>
        <v>-17000.04</v>
      </c>
      <c r="BA99" s="6">
        <f t="shared" si="84"/>
        <v>0</v>
      </c>
    </row>
    <row r="100" spans="1:53" x14ac:dyDescent="0.25">
      <c r="A100" s="3" t="s">
        <v>113</v>
      </c>
      <c r="B100" s="4"/>
      <c r="C100" s="4"/>
      <c r="D100" s="5">
        <f t="shared" si="57"/>
        <v>0</v>
      </c>
      <c r="E100" s="6" t="str">
        <f t="shared" si="58"/>
        <v/>
      </c>
      <c r="F100" s="5">
        <f>10400</f>
        <v>10400</v>
      </c>
      <c r="G100" s="4"/>
      <c r="H100" s="5">
        <f t="shared" si="59"/>
        <v>10400</v>
      </c>
      <c r="I100" s="6" t="str">
        <f t="shared" si="60"/>
        <v/>
      </c>
      <c r="J100" s="4"/>
      <c r="K100" s="4"/>
      <c r="L100" s="5">
        <f t="shared" si="61"/>
        <v>0</v>
      </c>
      <c r="M100" s="6" t="str">
        <f t="shared" si="62"/>
        <v/>
      </c>
      <c r="N100" s="4"/>
      <c r="O100" s="4"/>
      <c r="P100" s="5">
        <f t="shared" si="63"/>
        <v>0</v>
      </c>
      <c r="Q100" s="6" t="str">
        <f t="shared" si="64"/>
        <v/>
      </c>
      <c r="R100" s="4"/>
      <c r="S100" s="4"/>
      <c r="T100" s="5">
        <f t="shared" si="65"/>
        <v>0</v>
      </c>
      <c r="U100" s="6" t="str">
        <f t="shared" si="66"/>
        <v/>
      </c>
      <c r="V100" s="4"/>
      <c r="W100" s="4"/>
      <c r="X100" s="5">
        <f t="shared" si="67"/>
        <v>0</v>
      </c>
      <c r="Y100" s="6" t="str">
        <f t="shared" si="68"/>
        <v/>
      </c>
      <c r="Z100" s="4"/>
      <c r="AA100" s="4"/>
      <c r="AB100" s="5">
        <f t="shared" si="69"/>
        <v>0</v>
      </c>
      <c r="AC100" s="6" t="str">
        <f t="shared" si="70"/>
        <v/>
      </c>
      <c r="AD100" s="4"/>
      <c r="AE100" s="4"/>
      <c r="AF100" s="5">
        <f t="shared" si="71"/>
        <v>0</v>
      </c>
      <c r="AG100" s="6" t="str">
        <f t="shared" si="72"/>
        <v/>
      </c>
      <c r="AH100" s="4"/>
      <c r="AI100" s="4"/>
      <c r="AJ100" s="5">
        <f t="shared" si="73"/>
        <v>0</v>
      </c>
      <c r="AK100" s="6" t="str">
        <f t="shared" si="74"/>
        <v/>
      </c>
      <c r="AL100" s="4"/>
      <c r="AM100" s="4"/>
      <c r="AN100" s="5">
        <f t="shared" si="75"/>
        <v>0</v>
      </c>
      <c r="AO100" s="6" t="str">
        <f t="shared" si="76"/>
        <v/>
      </c>
      <c r="AP100" s="4"/>
      <c r="AQ100" s="4"/>
      <c r="AR100" s="5">
        <f t="shared" si="77"/>
        <v>0</v>
      </c>
      <c r="AS100" s="6" t="str">
        <f t="shared" si="78"/>
        <v/>
      </c>
      <c r="AT100" s="4"/>
      <c r="AU100" s="4"/>
      <c r="AV100" s="5">
        <f t="shared" si="79"/>
        <v>0</v>
      </c>
      <c r="AW100" s="6" t="str">
        <f t="shared" si="80"/>
        <v/>
      </c>
      <c r="AX100" s="5">
        <f t="shared" si="81"/>
        <v>10400</v>
      </c>
      <c r="AY100" s="5">
        <f t="shared" si="82"/>
        <v>0</v>
      </c>
      <c r="AZ100" s="5">
        <f t="shared" si="83"/>
        <v>10400</v>
      </c>
      <c r="BA100" s="6" t="str">
        <f t="shared" si="84"/>
        <v/>
      </c>
    </row>
    <row r="101" spans="1:53" x14ac:dyDescent="0.25">
      <c r="A101" s="3" t="s">
        <v>114</v>
      </c>
      <c r="B101" s="4"/>
      <c r="C101" s="4"/>
      <c r="D101" s="5">
        <f t="shared" si="57"/>
        <v>0</v>
      </c>
      <c r="E101" s="6" t="str">
        <f t="shared" si="58"/>
        <v/>
      </c>
      <c r="F101" s="5">
        <f>5600</f>
        <v>5600</v>
      </c>
      <c r="G101" s="4"/>
      <c r="H101" s="5">
        <f t="shared" si="59"/>
        <v>5600</v>
      </c>
      <c r="I101" s="6" t="str">
        <f t="shared" si="60"/>
        <v/>
      </c>
      <c r="J101" s="4"/>
      <c r="K101" s="4"/>
      <c r="L101" s="5">
        <f t="shared" si="61"/>
        <v>0</v>
      </c>
      <c r="M101" s="6" t="str">
        <f t="shared" si="62"/>
        <v/>
      </c>
      <c r="N101" s="4"/>
      <c r="O101" s="4"/>
      <c r="P101" s="5">
        <f t="shared" si="63"/>
        <v>0</v>
      </c>
      <c r="Q101" s="6" t="str">
        <f t="shared" si="64"/>
        <v/>
      </c>
      <c r="R101" s="4"/>
      <c r="S101" s="4"/>
      <c r="T101" s="5">
        <f t="shared" si="65"/>
        <v>0</v>
      </c>
      <c r="U101" s="6" t="str">
        <f t="shared" si="66"/>
        <v/>
      </c>
      <c r="V101" s="4"/>
      <c r="W101" s="4"/>
      <c r="X101" s="5">
        <f t="shared" si="67"/>
        <v>0</v>
      </c>
      <c r="Y101" s="6" t="str">
        <f t="shared" si="68"/>
        <v/>
      </c>
      <c r="Z101" s="4"/>
      <c r="AA101" s="4"/>
      <c r="AB101" s="5">
        <f t="shared" si="69"/>
        <v>0</v>
      </c>
      <c r="AC101" s="6" t="str">
        <f t="shared" si="70"/>
        <v/>
      </c>
      <c r="AD101" s="4"/>
      <c r="AE101" s="4"/>
      <c r="AF101" s="5">
        <f t="shared" si="71"/>
        <v>0</v>
      </c>
      <c r="AG101" s="6" t="str">
        <f t="shared" si="72"/>
        <v/>
      </c>
      <c r="AH101" s="4"/>
      <c r="AI101" s="4"/>
      <c r="AJ101" s="5">
        <f t="shared" si="73"/>
        <v>0</v>
      </c>
      <c r="AK101" s="6" t="str">
        <f t="shared" si="74"/>
        <v/>
      </c>
      <c r="AL101" s="4"/>
      <c r="AM101" s="4"/>
      <c r="AN101" s="5">
        <f t="shared" si="75"/>
        <v>0</v>
      </c>
      <c r="AO101" s="6" t="str">
        <f t="shared" si="76"/>
        <v/>
      </c>
      <c r="AP101" s="4"/>
      <c r="AQ101" s="4"/>
      <c r="AR101" s="5">
        <f t="shared" si="77"/>
        <v>0</v>
      </c>
      <c r="AS101" s="6" t="str">
        <f t="shared" si="78"/>
        <v/>
      </c>
      <c r="AT101" s="4"/>
      <c r="AU101" s="4"/>
      <c r="AV101" s="5">
        <f t="shared" si="79"/>
        <v>0</v>
      </c>
      <c r="AW101" s="6" t="str">
        <f t="shared" si="80"/>
        <v/>
      </c>
      <c r="AX101" s="5">
        <f t="shared" si="81"/>
        <v>5600</v>
      </c>
      <c r="AY101" s="5">
        <f t="shared" si="82"/>
        <v>0</v>
      </c>
      <c r="AZ101" s="5">
        <f t="shared" si="83"/>
        <v>5600</v>
      </c>
      <c r="BA101" s="6" t="str">
        <f t="shared" si="84"/>
        <v/>
      </c>
    </row>
    <row r="102" spans="1:53" x14ac:dyDescent="0.25">
      <c r="A102" s="3" t="s">
        <v>115</v>
      </c>
      <c r="B102" s="4"/>
      <c r="C102" s="4"/>
      <c r="D102" s="5">
        <f t="shared" si="57"/>
        <v>0</v>
      </c>
      <c r="E102" s="6" t="str">
        <f t="shared" si="58"/>
        <v/>
      </c>
      <c r="F102" s="5">
        <f>0</f>
        <v>0</v>
      </c>
      <c r="G102" s="4"/>
      <c r="H102" s="5">
        <f t="shared" si="59"/>
        <v>0</v>
      </c>
      <c r="I102" s="6" t="str">
        <f t="shared" si="60"/>
        <v/>
      </c>
      <c r="J102" s="4"/>
      <c r="K102" s="4"/>
      <c r="L102" s="5">
        <f t="shared" si="61"/>
        <v>0</v>
      </c>
      <c r="M102" s="6" t="str">
        <f t="shared" si="62"/>
        <v/>
      </c>
      <c r="N102" s="4"/>
      <c r="O102" s="4"/>
      <c r="P102" s="5">
        <f t="shared" si="63"/>
        <v>0</v>
      </c>
      <c r="Q102" s="6" t="str">
        <f t="shared" si="64"/>
        <v/>
      </c>
      <c r="R102" s="4"/>
      <c r="S102" s="4"/>
      <c r="T102" s="5">
        <f t="shared" si="65"/>
        <v>0</v>
      </c>
      <c r="U102" s="6" t="str">
        <f t="shared" si="66"/>
        <v/>
      </c>
      <c r="V102" s="4"/>
      <c r="W102" s="4"/>
      <c r="X102" s="5">
        <f t="shared" si="67"/>
        <v>0</v>
      </c>
      <c r="Y102" s="6" t="str">
        <f t="shared" si="68"/>
        <v/>
      </c>
      <c r="Z102" s="4"/>
      <c r="AA102" s="4"/>
      <c r="AB102" s="5">
        <f t="shared" si="69"/>
        <v>0</v>
      </c>
      <c r="AC102" s="6" t="str">
        <f t="shared" si="70"/>
        <v/>
      </c>
      <c r="AD102" s="4"/>
      <c r="AE102" s="4"/>
      <c r="AF102" s="5">
        <f t="shared" si="71"/>
        <v>0</v>
      </c>
      <c r="AG102" s="6" t="str">
        <f t="shared" si="72"/>
        <v/>
      </c>
      <c r="AH102" s="4"/>
      <c r="AI102" s="4"/>
      <c r="AJ102" s="5">
        <f t="shared" si="73"/>
        <v>0</v>
      </c>
      <c r="AK102" s="6" t="str">
        <f t="shared" si="74"/>
        <v/>
      </c>
      <c r="AL102" s="4"/>
      <c r="AM102" s="4"/>
      <c r="AN102" s="5">
        <f t="shared" si="75"/>
        <v>0</v>
      </c>
      <c r="AO102" s="6" t="str">
        <f t="shared" si="76"/>
        <v/>
      </c>
      <c r="AP102" s="4"/>
      <c r="AQ102" s="4"/>
      <c r="AR102" s="5">
        <f t="shared" si="77"/>
        <v>0</v>
      </c>
      <c r="AS102" s="6" t="str">
        <f t="shared" si="78"/>
        <v/>
      </c>
      <c r="AT102" s="4"/>
      <c r="AU102" s="4"/>
      <c r="AV102" s="5">
        <f t="shared" si="79"/>
        <v>0</v>
      </c>
      <c r="AW102" s="6" t="str">
        <f t="shared" si="80"/>
        <v/>
      </c>
      <c r="AX102" s="5">
        <f t="shared" si="81"/>
        <v>0</v>
      </c>
      <c r="AY102" s="5">
        <f t="shared" si="82"/>
        <v>0</v>
      </c>
      <c r="AZ102" s="5">
        <f t="shared" si="83"/>
        <v>0</v>
      </c>
      <c r="BA102" s="6" t="str">
        <f t="shared" si="84"/>
        <v/>
      </c>
    </row>
    <row r="103" spans="1:53" x14ac:dyDescent="0.25">
      <c r="A103" s="3" t="s">
        <v>116</v>
      </c>
      <c r="B103" s="7">
        <f>(((B99)+(B100))+(B101))+(B102)</f>
        <v>0</v>
      </c>
      <c r="C103" s="7">
        <f>(((C99)+(C100))+(C101))+(C102)</f>
        <v>1416.67</v>
      </c>
      <c r="D103" s="7">
        <f t="shared" si="57"/>
        <v>-1416.67</v>
      </c>
      <c r="E103" s="8">
        <f t="shared" si="58"/>
        <v>0</v>
      </c>
      <c r="F103" s="7">
        <f>(((F99)+(F100))+(F101))+(F102)</f>
        <v>16000</v>
      </c>
      <c r="G103" s="7">
        <f>(((G99)+(G100))+(G101))+(G102)</f>
        <v>1416.67</v>
      </c>
      <c r="H103" s="7">
        <f t="shared" si="59"/>
        <v>14583.33</v>
      </c>
      <c r="I103" s="8">
        <f t="shared" si="60"/>
        <v>11.294091072726888</v>
      </c>
      <c r="J103" s="7">
        <f>(((J99)+(J100))+(J101))+(J102)</f>
        <v>0</v>
      </c>
      <c r="K103" s="7">
        <f>(((K99)+(K100))+(K101))+(K102)</f>
        <v>1416.67</v>
      </c>
      <c r="L103" s="7">
        <f t="shared" si="61"/>
        <v>-1416.67</v>
      </c>
      <c r="M103" s="8">
        <f t="shared" si="62"/>
        <v>0</v>
      </c>
      <c r="N103" s="7">
        <f>(((N99)+(N100))+(N101))+(N102)</f>
        <v>0</v>
      </c>
      <c r="O103" s="7">
        <f>(((O99)+(O100))+(O101))+(O102)</f>
        <v>1416.67</v>
      </c>
      <c r="P103" s="7">
        <f t="shared" si="63"/>
        <v>-1416.67</v>
      </c>
      <c r="Q103" s="8">
        <f t="shared" si="64"/>
        <v>0</v>
      </c>
      <c r="R103" s="7">
        <f>(((R99)+(R100))+(R101))+(R102)</f>
        <v>0</v>
      </c>
      <c r="S103" s="7">
        <f>(((S99)+(S100))+(S101))+(S102)</f>
        <v>1416.67</v>
      </c>
      <c r="T103" s="7">
        <f t="shared" si="65"/>
        <v>-1416.67</v>
      </c>
      <c r="U103" s="8">
        <f t="shared" si="66"/>
        <v>0</v>
      </c>
      <c r="V103" s="7">
        <f>(((V99)+(V100))+(V101))+(V102)</f>
        <v>0</v>
      </c>
      <c r="W103" s="7">
        <f>(((W99)+(W100))+(W101))+(W102)</f>
        <v>1416.67</v>
      </c>
      <c r="X103" s="7">
        <f t="shared" si="67"/>
        <v>-1416.67</v>
      </c>
      <c r="Y103" s="8">
        <f t="shared" si="68"/>
        <v>0</v>
      </c>
      <c r="Z103" s="7">
        <f>(((Z99)+(Z100))+(Z101))+(Z102)</f>
        <v>0</v>
      </c>
      <c r="AA103" s="7">
        <f>(((AA99)+(AA100))+(AA101))+(AA102)</f>
        <v>1416.67</v>
      </c>
      <c r="AB103" s="7">
        <f t="shared" si="69"/>
        <v>-1416.67</v>
      </c>
      <c r="AC103" s="8">
        <f t="shared" si="70"/>
        <v>0</v>
      </c>
      <c r="AD103" s="7">
        <f>(((AD99)+(AD100))+(AD101))+(AD102)</f>
        <v>0</v>
      </c>
      <c r="AE103" s="7">
        <f>(((AE99)+(AE100))+(AE101))+(AE102)</f>
        <v>1416.67</v>
      </c>
      <c r="AF103" s="7">
        <f t="shared" si="71"/>
        <v>-1416.67</v>
      </c>
      <c r="AG103" s="8">
        <f t="shared" si="72"/>
        <v>0</v>
      </c>
      <c r="AH103" s="7">
        <f>(((AH99)+(AH100))+(AH101))+(AH102)</f>
        <v>0</v>
      </c>
      <c r="AI103" s="7">
        <f>(((AI99)+(AI100))+(AI101))+(AI102)</f>
        <v>1416.67</v>
      </c>
      <c r="AJ103" s="7">
        <f t="shared" si="73"/>
        <v>-1416.67</v>
      </c>
      <c r="AK103" s="8">
        <f t="shared" si="74"/>
        <v>0</v>
      </c>
      <c r="AL103" s="7">
        <f>(((AL99)+(AL100))+(AL101))+(AL102)</f>
        <v>0</v>
      </c>
      <c r="AM103" s="7">
        <f>(((AM99)+(AM100))+(AM101))+(AM102)</f>
        <v>1416.67</v>
      </c>
      <c r="AN103" s="7">
        <f t="shared" si="75"/>
        <v>-1416.67</v>
      </c>
      <c r="AO103" s="8">
        <f t="shared" si="76"/>
        <v>0</v>
      </c>
      <c r="AP103" s="7">
        <f>(((AP99)+(AP100))+(AP101))+(AP102)</f>
        <v>0</v>
      </c>
      <c r="AQ103" s="7">
        <f>(((AQ99)+(AQ100))+(AQ101))+(AQ102)</f>
        <v>1416.67</v>
      </c>
      <c r="AR103" s="7">
        <f t="shared" si="77"/>
        <v>-1416.67</v>
      </c>
      <c r="AS103" s="8">
        <f t="shared" si="78"/>
        <v>0</v>
      </c>
      <c r="AT103" s="7">
        <f>(((AT99)+(AT100))+(AT101))+(AT102)</f>
        <v>0</v>
      </c>
      <c r="AU103" s="7">
        <f>(((AU99)+(AU100))+(AU101))+(AU102)</f>
        <v>1416.67</v>
      </c>
      <c r="AV103" s="7">
        <f t="shared" si="79"/>
        <v>-1416.67</v>
      </c>
      <c r="AW103" s="8">
        <f t="shared" si="80"/>
        <v>0</v>
      </c>
      <c r="AX103" s="7">
        <f t="shared" si="81"/>
        <v>16000</v>
      </c>
      <c r="AY103" s="7">
        <f t="shared" si="82"/>
        <v>17000.04</v>
      </c>
      <c r="AZ103" s="7">
        <f t="shared" si="83"/>
        <v>-1000.0400000000009</v>
      </c>
      <c r="BA103" s="8">
        <f t="shared" si="84"/>
        <v>0.94117425606057392</v>
      </c>
    </row>
    <row r="104" spans="1:53" x14ac:dyDescent="0.25">
      <c r="A104" s="3" t="s">
        <v>117</v>
      </c>
      <c r="B104" s="4"/>
      <c r="C104" s="5">
        <f>500</f>
        <v>500</v>
      </c>
      <c r="D104" s="5">
        <f t="shared" si="57"/>
        <v>-500</v>
      </c>
      <c r="E104" s="6">
        <f t="shared" si="58"/>
        <v>0</v>
      </c>
      <c r="F104" s="4"/>
      <c r="G104" s="5">
        <f>500</f>
        <v>500</v>
      </c>
      <c r="H104" s="5">
        <f t="shared" si="59"/>
        <v>-500</v>
      </c>
      <c r="I104" s="6">
        <f t="shared" si="60"/>
        <v>0</v>
      </c>
      <c r="J104" s="4"/>
      <c r="K104" s="5">
        <f>500</f>
        <v>500</v>
      </c>
      <c r="L104" s="5">
        <f t="shared" si="61"/>
        <v>-500</v>
      </c>
      <c r="M104" s="6">
        <f t="shared" si="62"/>
        <v>0</v>
      </c>
      <c r="N104" s="4"/>
      <c r="O104" s="5">
        <f>500</f>
        <v>500</v>
      </c>
      <c r="P104" s="5">
        <f t="shared" si="63"/>
        <v>-500</v>
      </c>
      <c r="Q104" s="6">
        <f t="shared" si="64"/>
        <v>0</v>
      </c>
      <c r="R104" s="4"/>
      <c r="S104" s="5">
        <f>500</f>
        <v>500</v>
      </c>
      <c r="T104" s="5">
        <f t="shared" si="65"/>
        <v>-500</v>
      </c>
      <c r="U104" s="6">
        <f t="shared" si="66"/>
        <v>0</v>
      </c>
      <c r="V104" s="4"/>
      <c r="W104" s="5">
        <f>500</f>
        <v>500</v>
      </c>
      <c r="X104" s="5">
        <f t="shared" si="67"/>
        <v>-500</v>
      </c>
      <c r="Y104" s="6">
        <f t="shared" si="68"/>
        <v>0</v>
      </c>
      <c r="Z104" s="4"/>
      <c r="AA104" s="5">
        <f>500</f>
        <v>500</v>
      </c>
      <c r="AB104" s="5">
        <f t="shared" si="69"/>
        <v>-500</v>
      </c>
      <c r="AC104" s="6">
        <f t="shared" si="70"/>
        <v>0</v>
      </c>
      <c r="AD104" s="4"/>
      <c r="AE104" s="5">
        <f>500</f>
        <v>500</v>
      </c>
      <c r="AF104" s="5">
        <f t="shared" si="71"/>
        <v>-500</v>
      </c>
      <c r="AG104" s="6">
        <f t="shared" si="72"/>
        <v>0</v>
      </c>
      <c r="AH104" s="4"/>
      <c r="AI104" s="5">
        <f>500</f>
        <v>500</v>
      </c>
      <c r="AJ104" s="5">
        <f t="shared" si="73"/>
        <v>-500</v>
      </c>
      <c r="AK104" s="6">
        <f t="shared" si="74"/>
        <v>0</v>
      </c>
      <c r="AL104" s="4"/>
      <c r="AM104" s="5">
        <f>500</f>
        <v>500</v>
      </c>
      <c r="AN104" s="5">
        <f t="shared" si="75"/>
        <v>-500</v>
      </c>
      <c r="AO104" s="6">
        <f t="shared" si="76"/>
        <v>0</v>
      </c>
      <c r="AP104" s="4"/>
      <c r="AQ104" s="5">
        <f>500</f>
        <v>500</v>
      </c>
      <c r="AR104" s="5">
        <f t="shared" si="77"/>
        <v>-500</v>
      </c>
      <c r="AS104" s="6">
        <f t="shared" si="78"/>
        <v>0</v>
      </c>
      <c r="AT104" s="4"/>
      <c r="AU104" s="5">
        <f>500</f>
        <v>500</v>
      </c>
      <c r="AV104" s="5">
        <f t="shared" si="79"/>
        <v>-500</v>
      </c>
      <c r="AW104" s="6">
        <f t="shared" si="80"/>
        <v>0</v>
      </c>
      <c r="AX104" s="5">
        <f t="shared" si="81"/>
        <v>0</v>
      </c>
      <c r="AY104" s="5">
        <f t="shared" si="82"/>
        <v>6000</v>
      </c>
      <c r="AZ104" s="5">
        <f t="shared" si="83"/>
        <v>-6000</v>
      </c>
      <c r="BA104" s="6">
        <f t="shared" si="84"/>
        <v>0</v>
      </c>
    </row>
    <row r="105" spans="1:53" x14ac:dyDescent="0.25">
      <c r="A105" s="3" t="s">
        <v>118</v>
      </c>
      <c r="B105" s="5">
        <f>273</f>
        <v>273</v>
      </c>
      <c r="C105" s="4"/>
      <c r="D105" s="5">
        <f t="shared" si="57"/>
        <v>273</v>
      </c>
      <c r="E105" s="6" t="str">
        <f t="shared" si="58"/>
        <v/>
      </c>
      <c r="F105" s="5">
        <f>1040.81</f>
        <v>1040.81</v>
      </c>
      <c r="G105" s="4"/>
      <c r="H105" s="5">
        <f t="shared" si="59"/>
        <v>1040.81</v>
      </c>
      <c r="I105" s="6" t="str">
        <f t="shared" si="60"/>
        <v/>
      </c>
      <c r="J105" s="5">
        <f>1228.5</f>
        <v>1228.5</v>
      </c>
      <c r="K105" s="4"/>
      <c r="L105" s="5">
        <f t="shared" si="61"/>
        <v>1228.5</v>
      </c>
      <c r="M105" s="6" t="str">
        <f t="shared" si="62"/>
        <v/>
      </c>
      <c r="N105" s="5">
        <f>390</f>
        <v>390</v>
      </c>
      <c r="O105" s="4"/>
      <c r="P105" s="5">
        <f t="shared" si="63"/>
        <v>390</v>
      </c>
      <c r="Q105" s="6" t="str">
        <f t="shared" si="64"/>
        <v/>
      </c>
      <c r="R105" s="5">
        <f>162.5</f>
        <v>162.5</v>
      </c>
      <c r="S105" s="4"/>
      <c r="T105" s="5">
        <f t="shared" si="65"/>
        <v>162.5</v>
      </c>
      <c r="U105" s="6" t="str">
        <f t="shared" si="66"/>
        <v/>
      </c>
      <c r="V105" s="5">
        <f>565.5</f>
        <v>565.5</v>
      </c>
      <c r="W105" s="4"/>
      <c r="X105" s="5">
        <f t="shared" si="67"/>
        <v>565.5</v>
      </c>
      <c r="Y105" s="6" t="str">
        <f t="shared" si="68"/>
        <v/>
      </c>
      <c r="Z105" s="4"/>
      <c r="AA105" s="4"/>
      <c r="AB105" s="5">
        <f t="shared" si="69"/>
        <v>0</v>
      </c>
      <c r="AC105" s="6" t="str">
        <f t="shared" si="70"/>
        <v/>
      </c>
      <c r="AD105" s="4"/>
      <c r="AE105" s="4"/>
      <c r="AF105" s="5">
        <f t="shared" si="71"/>
        <v>0</v>
      </c>
      <c r="AG105" s="6" t="str">
        <f t="shared" si="72"/>
        <v/>
      </c>
      <c r="AH105" s="5">
        <f>810.06</f>
        <v>810.06</v>
      </c>
      <c r="AI105" s="4"/>
      <c r="AJ105" s="5">
        <f t="shared" si="73"/>
        <v>810.06</v>
      </c>
      <c r="AK105" s="6" t="str">
        <f t="shared" si="74"/>
        <v/>
      </c>
      <c r="AL105" s="4"/>
      <c r="AM105" s="4"/>
      <c r="AN105" s="5">
        <f t="shared" si="75"/>
        <v>0</v>
      </c>
      <c r="AO105" s="6" t="str">
        <f t="shared" si="76"/>
        <v/>
      </c>
      <c r="AP105" s="5">
        <f>357.5</f>
        <v>357.5</v>
      </c>
      <c r="AQ105" s="4"/>
      <c r="AR105" s="5">
        <f t="shared" si="77"/>
        <v>357.5</v>
      </c>
      <c r="AS105" s="6" t="str">
        <f t="shared" si="78"/>
        <v/>
      </c>
      <c r="AT105" s="5">
        <f>514.31</f>
        <v>514.30999999999995</v>
      </c>
      <c r="AU105" s="4"/>
      <c r="AV105" s="5">
        <f t="shared" si="79"/>
        <v>514.30999999999995</v>
      </c>
      <c r="AW105" s="6" t="str">
        <f t="shared" si="80"/>
        <v/>
      </c>
      <c r="AX105" s="5">
        <f t="shared" si="81"/>
        <v>5342.18</v>
      </c>
      <c r="AY105" s="5">
        <f t="shared" si="82"/>
        <v>0</v>
      </c>
      <c r="AZ105" s="5">
        <f t="shared" si="83"/>
        <v>5342.18</v>
      </c>
      <c r="BA105" s="6" t="str">
        <f t="shared" si="84"/>
        <v/>
      </c>
    </row>
    <row r="106" spans="1:53" x14ac:dyDescent="0.25">
      <c r="A106" s="3" t="s">
        <v>119</v>
      </c>
      <c r="B106" s="5">
        <f>147</f>
        <v>147</v>
      </c>
      <c r="C106" s="4"/>
      <c r="D106" s="5">
        <f t="shared" si="57"/>
        <v>147</v>
      </c>
      <c r="E106" s="6" t="str">
        <f t="shared" si="58"/>
        <v/>
      </c>
      <c r="F106" s="5">
        <f>560.44</f>
        <v>560.44000000000005</v>
      </c>
      <c r="G106" s="4"/>
      <c r="H106" s="5">
        <f t="shared" si="59"/>
        <v>560.44000000000005</v>
      </c>
      <c r="I106" s="6" t="str">
        <f t="shared" si="60"/>
        <v/>
      </c>
      <c r="J106" s="5">
        <f>661.5</f>
        <v>661.5</v>
      </c>
      <c r="K106" s="4"/>
      <c r="L106" s="5">
        <f t="shared" si="61"/>
        <v>661.5</v>
      </c>
      <c r="M106" s="6" t="str">
        <f t="shared" si="62"/>
        <v/>
      </c>
      <c r="N106" s="5">
        <f>210</f>
        <v>210</v>
      </c>
      <c r="O106" s="4"/>
      <c r="P106" s="5">
        <f t="shared" si="63"/>
        <v>210</v>
      </c>
      <c r="Q106" s="6" t="str">
        <f t="shared" si="64"/>
        <v/>
      </c>
      <c r="R106" s="5">
        <f>87.5</f>
        <v>87.5</v>
      </c>
      <c r="S106" s="4"/>
      <c r="T106" s="5">
        <f t="shared" si="65"/>
        <v>87.5</v>
      </c>
      <c r="U106" s="6" t="str">
        <f t="shared" si="66"/>
        <v/>
      </c>
      <c r="V106" s="5">
        <f>304.5</f>
        <v>304.5</v>
      </c>
      <c r="W106" s="4"/>
      <c r="X106" s="5">
        <f t="shared" si="67"/>
        <v>304.5</v>
      </c>
      <c r="Y106" s="6" t="str">
        <f t="shared" si="68"/>
        <v/>
      </c>
      <c r="Z106" s="4"/>
      <c r="AA106" s="4"/>
      <c r="AB106" s="5">
        <f t="shared" si="69"/>
        <v>0</v>
      </c>
      <c r="AC106" s="6" t="str">
        <f t="shared" si="70"/>
        <v/>
      </c>
      <c r="AD106" s="4"/>
      <c r="AE106" s="4"/>
      <c r="AF106" s="5">
        <f t="shared" si="71"/>
        <v>0</v>
      </c>
      <c r="AG106" s="6" t="str">
        <f t="shared" si="72"/>
        <v/>
      </c>
      <c r="AH106" s="5">
        <f>436.19</f>
        <v>436.19</v>
      </c>
      <c r="AI106" s="4"/>
      <c r="AJ106" s="5">
        <f t="shared" si="73"/>
        <v>436.19</v>
      </c>
      <c r="AK106" s="6" t="str">
        <f t="shared" si="74"/>
        <v/>
      </c>
      <c r="AL106" s="4"/>
      <c r="AM106" s="4"/>
      <c r="AN106" s="5">
        <f t="shared" si="75"/>
        <v>0</v>
      </c>
      <c r="AO106" s="6" t="str">
        <f t="shared" si="76"/>
        <v/>
      </c>
      <c r="AP106" s="5">
        <f>192.5</f>
        <v>192.5</v>
      </c>
      <c r="AQ106" s="4"/>
      <c r="AR106" s="5">
        <f t="shared" si="77"/>
        <v>192.5</v>
      </c>
      <c r="AS106" s="6" t="str">
        <f t="shared" si="78"/>
        <v/>
      </c>
      <c r="AT106" s="5">
        <f>276.94</f>
        <v>276.94</v>
      </c>
      <c r="AU106" s="4"/>
      <c r="AV106" s="5">
        <f t="shared" si="79"/>
        <v>276.94</v>
      </c>
      <c r="AW106" s="6" t="str">
        <f t="shared" si="80"/>
        <v/>
      </c>
      <c r="AX106" s="5">
        <f t="shared" si="81"/>
        <v>2876.57</v>
      </c>
      <c r="AY106" s="5">
        <f t="shared" si="82"/>
        <v>0</v>
      </c>
      <c r="AZ106" s="5">
        <f t="shared" si="83"/>
        <v>2876.57</v>
      </c>
      <c r="BA106" s="6" t="str">
        <f t="shared" si="84"/>
        <v/>
      </c>
    </row>
    <row r="107" spans="1:53" x14ac:dyDescent="0.25">
      <c r="A107" s="3" t="s">
        <v>120</v>
      </c>
      <c r="B107" s="5">
        <f>0</f>
        <v>0</v>
      </c>
      <c r="C107" s="4"/>
      <c r="D107" s="5">
        <f t="shared" si="57"/>
        <v>0</v>
      </c>
      <c r="E107" s="6" t="str">
        <f t="shared" si="58"/>
        <v/>
      </c>
      <c r="F107" s="5">
        <f>0</f>
        <v>0</v>
      </c>
      <c r="G107" s="4"/>
      <c r="H107" s="5">
        <f t="shared" si="59"/>
        <v>0</v>
      </c>
      <c r="I107" s="6" t="str">
        <f t="shared" si="60"/>
        <v/>
      </c>
      <c r="J107" s="5">
        <f>0</f>
        <v>0</v>
      </c>
      <c r="K107" s="4"/>
      <c r="L107" s="5">
        <f t="shared" si="61"/>
        <v>0</v>
      </c>
      <c r="M107" s="6" t="str">
        <f t="shared" si="62"/>
        <v/>
      </c>
      <c r="N107" s="5">
        <f>0</f>
        <v>0</v>
      </c>
      <c r="O107" s="4"/>
      <c r="P107" s="5">
        <f t="shared" si="63"/>
        <v>0</v>
      </c>
      <c r="Q107" s="6" t="str">
        <f t="shared" si="64"/>
        <v/>
      </c>
      <c r="R107" s="5">
        <f>0</f>
        <v>0</v>
      </c>
      <c r="S107" s="4"/>
      <c r="T107" s="5">
        <f t="shared" si="65"/>
        <v>0</v>
      </c>
      <c r="U107" s="6" t="str">
        <f t="shared" si="66"/>
        <v/>
      </c>
      <c r="V107" s="5">
        <f>0</f>
        <v>0</v>
      </c>
      <c r="W107" s="4"/>
      <c r="X107" s="5">
        <f t="shared" si="67"/>
        <v>0</v>
      </c>
      <c r="Y107" s="6" t="str">
        <f t="shared" si="68"/>
        <v/>
      </c>
      <c r="Z107" s="4"/>
      <c r="AA107" s="4"/>
      <c r="AB107" s="5">
        <f t="shared" si="69"/>
        <v>0</v>
      </c>
      <c r="AC107" s="6" t="str">
        <f t="shared" si="70"/>
        <v/>
      </c>
      <c r="AD107" s="4"/>
      <c r="AE107" s="4"/>
      <c r="AF107" s="5">
        <f t="shared" si="71"/>
        <v>0</v>
      </c>
      <c r="AG107" s="6" t="str">
        <f t="shared" si="72"/>
        <v/>
      </c>
      <c r="AH107" s="5">
        <f>0</f>
        <v>0</v>
      </c>
      <c r="AI107" s="4"/>
      <c r="AJ107" s="5">
        <f t="shared" si="73"/>
        <v>0</v>
      </c>
      <c r="AK107" s="6" t="str">
        <f t="shared" si="74"/>
        <v/>
      </c>
      <c r="AL107" s="4"/>
      <c r="AM107" s="4"/>
      <c r="AN107" s="5">
        <f t="shared" si="75"/>
        <v>0</v>
      </c>
      <c r="AO107" s="6" t="str">
        <f t="shared" si="76"/>
        <v/>
      </c>
      <c r="AP107" s="5">
        <f>0</f>
        <v>0</v>
      </c>
      <c r="AQ107" s="4"/>
      <c r="AR107" s="5">
        <f t="shared" si="77"/>
        <v>0</v>
      </c>
      <c r="AS107" s="6" t="str">
        <f t="shared" si="78"/>
        <v/>
      </c>
      <c r="AT107" s="5">
        <f>0</f>
        <v>0</v>
      </c>
      <c r="AU107" s="4"/>
      <c r="AV107" s="5">
        <f t="shared" si="79"/>
        <v>0</v>
      </c>
      <c r="AW107" s="6" t="str">
        <f t="shared" si="80"/>
        <v/>
      </c>
      <c r="AX107" s="5">
        <f t="shared" si="81"/>
        <v>0</v>
      </c>
      <c r="AY107" s="5">
        <f t="shared" si="82"/>
        <v>0</v>
      </c>
      <c r="AZ107" s="5">
        <f t="shared" si="83"/>
        <v>0</v>
      </c>
      <c r="BA107" s="6" t="str">
        <f t="shared" si="84"/>
        <v/>
      </c>
    </row>
    <row r="108" spans="1:53" x14ac:dyDescent="0.25">
      <c r="A108" s="3" t="s">
        <v>121</v>
      </c>
      <c r="B108" s="7">
        <f>(((B104)+(B105))+(B106))+(B107)</f>
        <v>420</v>
      </c>
      <c r="C108" s="7">
        <f>(((C104)+(C105))+(C106))+(C107)</f>
        <v>500</v>
      </c>
      <c r="D108" s="7">
        <f t="shared" si="57"/>
        <v>-80</v>
      </c>
      <c r="E108" s="8">
        <f t="shared" si="58"/>
        <v>0.84</v>
      </c>
      <c r="F108" s="7">
        <f>(((F104)+(F105))+(F106))+(F107)</f>
        <v>1601.25</v>
      </c>
      <c r="G108" s="7">
        <f>(((G104)+(G105))+(G106))+(G107)</f>
        <v>500</v>
      </c>
      <c r="H108" s="7">
        <f t="shared" si="59"/>
        <v>1101.25</v>
      </c>
      <c r="I108" s="8">
        <f t="shared" si="60"/>
        <v>3.2025000000000001</v>
      </c>
      <c r="J108" s="7">
        <f>(((J104)+(J105))+(J106))+(J107)</f>
        <v>1890</v>
      </c>
      <c r="K108" s="7">
        <f>(((K104)+(K105))+(K106))+(K107)</f>
        <v>500</v>
      </c>
      <c r="L108" s="7">
        <f t="shared" si="61"/>
        <v>1390</v>
      </c>
      <c r="M108" s="8">
        <f t="shared" si="62"/>
        <v>3.78</v>
      </c>
      <c r="N108" s="7">
        <f>(((N104)+(N105))+(N106))+(N107)</f>
        <v>600</v>
      </c>
      <c r="O108" s="7">
        <f>(((O104)+(O105))+(O106))+(O107)</f>
        <v>500</v>
      </c>
      <c r="P108" s="7">
        <f t="shared" si="63"/>
        <v>100</v>
      </c>
      <c r="Q108" s="8">
        <f t="shared" si="64"/>
        <v>1.2</v>
      </c>
      <c r="R108" s="7">
        <f>(((R104)+(R105))+(R106))+(R107)</f>
        <v>250</v>
      </c>
      <c r="S108" s="7">
        <f>(((S104)+(S105))+(S106))+(S107)</f>
        <v>500</v>
      </c>
      <c r="T108" s="7">
        <f t="shared" si="65"/>
        <v>-250</v>
      </c>
      <c r="U108" s="8">
        <f t="shared" si="66"/>
        <v>0.5</v>
      </c>
      <c r="V108" s="7">
        <f>(((V104)+(V105))+(V106))+(V107)</f>
        <v>870</v>
      </c>
      <c r="W108" s="7">
        <f>(((W104)+(W105))+(W106))+(W107)</f>
        <v>500</v>
      </c>
      <c r="X108" s="7">
        <f t="shared" si="67"/>
        <v>370</v>
      </c>
      <c r="Y108" s="8">
        <f t="shared" si="68"/>
        <v>1.74</v>
      </c>
      <c r="Z108" s="7">
        <f>(((Z104)+(Z105))+(Z106))+(Z107)</f>
        <v>0</v>
      </c>
      <c r="AA108" s="7">
        <f>(((AA104)+(AA105))+(AA106))+(AA107)</f>
        <v>500</v>
      </c>
      <c r="AB108" s="7">
        <f t="shared" si="69"/>
        <v>-500</v>
      </c>
      <c r="AC108" s="8">
        <f t="shared" si="70"/>
        <v>0</v>
      </c>
      <c r="AD108" s="7">
        <f>(((AD104)+(AD105))+(AD106))+(AD107)</f>
        <v>0</v>
      </c>
      <c r="AE108" s="7">
        <f>(((AE104)+(AE105))+(AE106))+(AE107)</f>
        <v>500</v>
      </c>
      <c r="AF108" s="7">
        <f t="shared" si="71"/>
        <v>-500</v>
      </c>
      <c r="AG108" s="8">
        <f t="shared" si="72"/>
        <v>0</v>
      </c>
      <c r="AH108" s="7">
        <f>(((AH104)+(AH105))+(AH106))+(AH107)</f>
        <v>1246.25</v>
      </c>
      <c r="AI108" s="7">
        <f>(((AI104)+(AI105))+(AI106))+(AI107)</f>
        <v>500</v>
      </c>
      <c r="AJ108" s="7">
        <f t="shared" si="73"/>
        <v>746.25</v>
      </c>
      <c r="AK108" s="8">
        <f t="shared" si="74"/>
        <v>2.4925000000000002</v>
      </c>
      <c r="AL108" s="7">
        <f>(((AL104)+(AL105))+(AL106))+(AL107)</f>
        <v>0</v>
      </c>
      <c r="AM108" s="7">
        <f>(((AM104)+(AM105))+(AM106))+(AM107)</f>
        <v>500</v>
      </c>
      <c r="AN108" s="7">
        <f t="shared" si="75"/>
        <v>-500</v>
      </c>
      <c r="AO108" s="8">
        <f t="shared" si="76"/>
        <v>0</v>
      </c>
      <c r="AP108" s="7">
        <f>(((AP104)+(AP105))+(AP106))+(AP107)</f>
        <v>550</v>
      </c>
      <c r="AQ108" s="7">
        <f>(((AQ104)+(AQ105))+(AQ106))+(AQ107)</f>
        <v>500</v>
      </c>
      <c r="AR108" s="7">
        <f t="shared" si="77"/>
        <v>50</v>
      </c>
      <c r="AS108" s="8">
        <f t="shared" si="78"/>
        <v>1.1000000000000001</v>
      </c>
      <c r="AT108" s="7">
        <f>(((AT104)+(AT105))+(AT106))+(AT107)</f>
        <v>791.25</v>
      </c>
      <c r="AU108" s="7">
        <f>(((AU104)+(AU105))+(AU106))+(AU107)</f>
        <v>500</v>
      </c>
      <c r="AV108" s="7">
        <f t="shared" si="79"/>
        <v>291.25</v>
      </c>
      <c r="AW108" s="8">
        <f t="shared" si="80"/>
        <v>1.5825</v>
      </c>
      <c r="AX108" s="7">
        <f t="shared" si="81"/>
        <v>8218.75</v>
      </c>
      <c r="AY108" s="7">
        <f t="shared" si="82"/>
        <v>6000</v>
      </c>
      <c r="AZ108" s="7">
        <f t="shared" si="83"/>
        <v>2218.75</v>
      </c>
      <c r="BA108" s="8">
        <f t="shared" si="84"/>
        <v>1.3697916666666667</v>
      </c>
    </row>
    <row r="109" spans="1:53" x14ac:dyDescent="0.25">
      <c r="A109" s="3" t="s">
        <v>122</v>
      </c>
      <c r="B109" s="4"/>
      <c r="C109" s="5">
        <f>1602.5</f>
        <v>1602.5</v>
      </c>
      <c r="D109" s="5">
        <f t="shared" si="57"/>
        <v>-1602.5</v>
      </c>
      <c r="E109" s="6">
        <f t="shared" si="58"/>
        <v>0</v>
      </c>
      <c r="F109" s="4"/>
      <c r="G109" s="5">
        <f>1602.5</f>
        <v>1602.5</v>
      </c>
      <c r="H109" s="5">
        <f t="shared" si="59"/>
        <v>-1602.5</v>
      </c>
      <c r="I109" s="6">
        <f t="shared" si="60"/>
        <v>0</v>
      </c>
      <c r="J109" s="4"/>
      <c r="K109" s="5">
        <f>1602.5</f>
        <v>1602.5</v>
      </c>
      <c r="L109" s="5">
        <f t="shared" si="61"/>
        <v>-1602.5</v>
      </c>
      <c r="M109" s="6">
        <f t="shared" si="62"/>
        <v>0</v>
      </c>
      <c r="N109" s="4"/>
      <c r="O109" s="5">
        <f>1602.5</f>
        <v>1602.5</v>
      </c>
      <c r="P109" s="5">
        <f t="shared" si="63"/>
        <v>-1602.5</v>
      </c>
      <c r="Q109" s="6">
        <f t="shared" si="64"/>
        <v>0</v>
      </c>
      <c r="R109" s="4"/>
      <c r="S109" s="5">
        <f>1602.5</f>
        <v>1602.5</v>
      </c>
      <c r="T109" s="5">
        <f t="shared" si="65"/>
        <v>-1602.5</v>
      </c>
      <c r="U109" s="6">
        <f t="shared" si="66"/>
        <v>0</v>
      </c>
      <c r="V109" s="4"/>
      <c r="W109" s="5">
        <f>1602.5</f>
        <v>1602.5</v>
      </c>
      <c r="X109" s="5">
        <f t="shared" si="67"/>
        <v>-1602.5</v>
      </c>
      <c r="Y109" s="6">
        <f t="shared" si="68"/>
        <v>0</v>
      </c>
      <c r="Z109" s="4"/>
      <c r="AA109" s="5">
        <f>1602.5</f>
        <v>1602.5</v>
      </c>
      <c r="AB109" s="5">
        <f t="shared" si="69"/>
        <v>-1602.5</v>
      </c>
      <c r="AC109" s="6">
        <f t="shared" si="70"/>
        <v>0</v>
      </c>
      <c r="AD109" s="4"/>
      <c r="AE109" s="5">
        <f>1602.5</f>
        <v>1602.5</v>
      </c>
      <c r="AF109" s="5">
        <f t="shared" si="71"/>
        <v>-1602.5</v>
      </c>
      <c r="AG109" s="6">
        <f t="shared" si="72"/>
        <v>0</v>
      </c>
      <c r="AH109" s="4"/>
      <c r="AI109" s="5">
        <f>1602.5</f>
        <v>1602.5</v>
      </c>
      <c r="AJ109" s="5">
        <f t="shared" si="73"/>
        <v>-1602.5</v>
      </c>
      <c r="AK109" s="6">
        <f t="shared" si="74"/>
        <v>0</v>
      </c>
      <c r="AL109" s="4"/>
      <c r="AM109" s="5">
        <f>1602.5</f>
        <v>1602.5</v>
      </c>
      <c r="AN109" s="5">
        <f t="shared" si="75"/>
        <v>-1602.5</v>
      </c>
      <c r="AO109" s="6">
        <f t="shared" si="76"/>
        <v>0</v>
      </c>
      <c r="AP109" s="4"/>
      <c r="AQ109" s="5">
        <f>1602.5</f>
        <v>1602.5</v>
      </c>
      <c r="AR109" s="5">
        <f t="shared" si="77"/>
        <v>-1602.5</v>
      </c>
      <c r="AS109" s="6">
        <f t="shared" si="78"/>
        <v>0</v>
      </c>
      <c r="AT109" s="4"/>
      <c r="AU109" s="5">
        <f>1602.5</f>
        <v>1602.5</v>
      </c>
      <c r="AV109" s="5">
        <f t="shared" si="79"/>
        <v>-1602.5</v>
      </c>
      <c r="AW109" s="6">
        <f t="shared" si="80"/>
        <v>0</v>
      </c>
      <c r="AX109" s="5">
        <f t="shared" si="81"/>
        <v>0</v>
      </c>
      <c r="AY109" s="5">
        <f t="shared" si="82"/>
        <v>19230</v>
      </c>
      <c r="AZ109" s="5">
        <f t="shared" si="83"/>
        <v>-19230</v>
      </c>
      <c r="BA109" s="6">
        <f t="shared" si="84"/>
        <v>0</v>
      </c>
    </row>
    <row r="110" spans="1:53" x14ac:dyDescent="0.25">
      <c r="A110" s="3" t="s">
        <v>123</v>
      </c>
      <c r="B110" s="4"/>
      <c r="C110" s="4"/>
      <c r="D110" s="5">
        <f t="shared" ref="D110:D141" si="85">(B110)-(C110)</f>
        <v>0</v>
      </c>
      <c r="E110" s="6" t="str">
        <f t="shared" ref="E110:E137" si="86">IF(C110=0,"",(B110)/(C110))</f>
        <v/>
      </c>
      <c r="F110" s="4"/>
      <c r="G110" s="4"/>
      <c r="H110" s="5">
        <f t="shared" ref="H110:H141" si="87">(F110)-(G110)</f>
        <v>0</v>
      </c>
      <c r="I110" s="6" t="str">
        <f t="shared" ref="I110:I137" si="88">IF(G110=0,"",(F110)/(G110))</f>
        <v/>
      </c>
      <c r="J110" s="5">
        <f>195</f>
        <v>195</v>
      </c>
      <c r="K110" s="4"/>
      <c r="L110" s="5">
        <f t="shared" ref="L110:L141" si="89">(J110)-(K110)</f>
        <v>195</v>
      </c>
      <c r="M110" s="6" t="str">
        <f t="shared" ref="M110:M137" si="90">IF(K110=0,"",(J110)/(K110))</f>
        <v/>
      </c>
      <c r="N110" s="4"/>
      <c r="O110" s="4"/>
      <c r="P110" s="5">
        <f t="shared" ref="P110:P141" si="91">(N110)-(O110)</f>
        <v>0</v>
      </c>
      <c r="Q110" s="6" t="str">
        <f t="shared" ref="Q110:Q137" si="92">IF(O110=0,"",(N110)/(O110))</f>
        <v/>
      </c>
      <c r="R110" s="5">
        <f>1365</f>
        <v>1365</v>
      </c>
      <c r="S110" s="4"/>
      <c r="T110" s="5">
        <f t="shared" ref="T110:T141" si="93">(R110)-(S110)</f>
        <v>1365</v>
      </c>
      <c r="U110" s="6" t="str">
        <f t="shared" ref="U110:U137" si="94">IF(S110=0,"",(R110)/(S110))</f>
        <v/>
      </c>
      <c r="V110" s="4"/>
      <c r="W110" s="4"/>
      <c r="X110" s="5">
        <f t="shared" ref="X110:X141" si="95">(V110)-(W110)</f>
        <v>0</v>
      </c>
      <c r="Y110" s="6" t="str">
        <f t="shared" ref="Y110:Y137" si="96">IF(W110=0,"",(V110)/(W110))</f>
        <v/>
      </c>
      <c r="Z110" s="4"/>
      <c r="AA110" s="4"/>
      <c r="AB110" s="5">
        <f t="shared" ref="AB110:AB141" si="97">(Z110)-(AA110)</f>
        <v>0</v>
      </c>
      <c r="AC110" s="6" t="str">
        <f t="shared" ref="AC110:AC137" si="98">IF(AA110=0,"",(Z110)/(AA110))</f>
        <v/>
      </c>
      <c r="AD110" s="4"/>
      <c r="AE110" s="4"/>
      <c r="AF110" s="5">
        <f t="shared" ref="AF110:AF141" si="99">(AD110)-(AE110)</f>
        <v>0</v>
      </c>
      <c r="AG110" s="6" t="str">
        <f t="shared" ref="AG110:AG137" si="100">IF(AE110=0,"",(AD110)/(AE110))</f>
        <v/>
      </c>
      <c r="AH110" s="4"/>
      <c r="AI110" s="4"/>
      <c r="AJ110" s="5">
        <f t="shared" ref="AJ110:AJ141" si="101">(AH110)-(AI110)</f>
        <v>0</v>
      </c>
      <c r="AK110" s="6" t="str">
        <f t="shared" ref="AK110:AK137" si="102">IF(AI110=0,"",(AH110)/(AI110))</f>
        <v/>
      </c>
      <c r="AL110" s="5">
        <f>312</f>
        <v>312</v>
      </c>
      <c r="AM110" s="4"/>
      <c r="AN110" s="5">
        <f t="shared" ref="AN110:AN141" si="103">(AL110)-(AM110)</f>
        <v>312</v>
      </c>
      <c r="AO110" s="6" t="str">
        <f t="shared" ref="AO110:AO137" si="104">IF(AM110=0,"",(AL110)/(AM110))</f>
        <v/>
      </c>
      <c r="AP110" s="4"/>
      <c r="AQ110" s="4"/>
      <c r="AR110" s="5">
        <f t="shared" ref="AR110:AR141" si="105">(AP110)-(AQ110)</f>
        <v>0</v>
      </c>
      <c r="AS110" s="6" t="str">
        <f t="shared" ref="AS110:AS137" si="106">IF(AQ110=0,"",(AP110)/(AQ110))</f>
        <v/>
      </c>
      <c r="AT110" s="5">
        <f>455</f>
        <v>455</v>
      </c>
      <c r="AU110" s="4"/>
      <c r="AV110" s="5">
        <f t="shared" ref="AV110:AV141" si="107">(AT110)-(AU110)</f>
        <v>455</v>
      </c>
      <c r="AW110" s="6" t="str">
        <f t="shared" ref="AW110:AW137" si="108">IF(AU110=0,"",(AT110)/(AU110))</f>
        <v/>
      </c>
      <c r="AX110" s="5">
        <f t="shared" ref="AX110:AX137" si="109">(((((((((((B110)+(F110))+(J110))+(N110))+(R110))+(V110))+(Z110))+(AD110))+(AH110))+(AL110))+(AP110))+(AT110)</f>
        <v>2327</v>
      </c>
      <c r="AY110" s="5">
        <f t="shared" ref="AY110:AY137" si="110">(((((((((((C110)+(G110))+(K110))+(O110))+(S110))+(W110))+(AA110))+(AE110))+(AI110))+(AM110))+(AQ110))+(AU110)</f>
        <v>0</v>
      </c>
      <c r="AZ110" s="5">
        <f t="shared" ref="AZ110:AZ141" si="111">(AX110)-(AY110)</f>
        <v>2327</v>
      </c>
      <c r="BA110" s="6" t="str">
        <f t="shared" ref="BA110:BA137" si="112">IF(AY110=0,"",(AX110)/(AY110))</f>
        <v/>
      </c>
    </row>
    <row r="111" spans="1:53" x14ac:dyDescent="0.25">
      <c r="A111" s="3" t="s">
        <v>124</v>
      </c>
      <c r="B111" s="4"/>
      <c r="C111" s="4"/>
      <c r="D111" s="5">
        <f t="shared" si="85"/>
        <v>0</v>
      </c>
      <c r="E111" s="6" t="str">
        <f t="shared" si="86"/>
        <v/>
      </c>
      <c r="F111" s="4"/>
      <c r="G111" s="4"/>
      <c r="H111" s="5">
        <f t="shared" si="87"/>
        <v>0</v>
      </c>
      <c r="I111" s="6" t="str">
        <f t="shared" si="88"/>
        <v/>
      </c>
      <c r="J111" s="5">
        <f>105</f>
        <v>105</v>
      </c>
      <c r="K111" s="4"/>
      <c r="L111" s="5">
        <f t="shared" si="89"/>
        <v>105</v>
      </c>
      <c r="M111" s="6" t="str">
        <f t="shared" si="90"/>
        <v/>
      </c>
      <c r="N111" s="4"/>
      <c r="O111" s="4"/>
      <c r="P111" s="5">
        <f t="shared" si="91"/>
        <v>0</v>
      </c>
      <c r="Q111" s="6" t="str">
        <f t="shared" si="92"/>
        <v/>
      </c>
      <c r="R111" s="5">
        <f>735</f>
        <v>735</v>
      </c>
      <c r="S111" s="4"/>
      <c r="T111" s="5">
        <f t="shared" si="93"/>
        <v>735</v>
      </c>
      <c r="U111" s="6" t="str">
        <f t="shared" si="94"/>
        <v/>
      </c>
      <c r="V111" s="4"/>
      <c r="W111" s="4"/>
      <c r="X111" s="5">
        <f t="shared" si="95"/>
        <v>0</v>
      </c>
      <c r="Y111" s="6" t="str">
        <f t="shared" si="96"/>
        <v/>
      </c>
      <c r="Z111" s="4"/>
      <c r="AA111" s="4"/>
      <c r="AB111" s="5">
        <f t="shared" si="97"/>
        <v>0</v>
      </c>
      <c r="AC111" s="6" t="str">
        <f t="shared" si="98"/>
        <v/>
      </c>
      <c r="AD111" s="4"/>
      <c r="AE111" s="4"/>
      <c r="AF111" s="5">
        <f t="shared" si="99"/>
        <v>0</v>
      </c>
      <c r="AG111" s="6" t="str">
        <f t="shared" si="100"/>
        <v/>
      </c>
      <c r="AH111" s="4"/>
      <c r="AI111" s="4"/>
      <c r="AJ111" s="5">
        <f t="shared" si="101"/>
        <v>0</v>
      </c>
      <c r="AK111" s="6" t="str">
        <f t="shared" si="102"/>
        <v/>
      </c>
      <c r="AL111" s="5">
        <f>168</f>
        <v>168</v>
      </c>
      <c r="AM111" s="4"/>
      <c r="AN111" s="5">
        <f t="shared" si="103"/>
        <v>168</v>
      </c>
      <c r="AO111" s="6" t="str">
        <f t="shared" si="104"/>
        <v/>
      </c>
      <c r="AP111" s="4"/>
      <c r="AQ111" s="4"/>
      <c r="AR111" s="5">
        <f t="shared" si="105"/>
        <v>0</v>
      </c>
      <c r="AS111" s="6" t="str">
        <f t="shared" si="106"/>
        <v/>
      </c>
      <c r="AT111" s="5">
        <f>245</f>
        <v>245</v>
      </c>
      <c r="AU111" s="4"/>
      <c r="AV111" s="5">
        <f t="shared" si="107"/>
        <v>245</v>
      </c>
      <c r="AW111" s="6" t="str">
        <f t="shared" si="108"/>
        <v/>
      </c>
      <c r="AX111" s="5">
        <f t="shared" si="109"/>
        <v>1253</v>
      </c>
      <c r="AY111" s="5">
        <f t="shared" si="110"/>
        <v>0</v>
      </c>
      <c r="AZ111" s="5">
        <f t="shared" si="111"/>
        <v>1253</v>
      </c>
      <c r="BA111" s="6" t="str">
        <f t="shared" si="112"/>
        <v/>
      </c>
    </row>
    <row r="112" spans="1:53" x14ac:dyDescent="0.25">
      <c r="A112" s="3" t="s">
        <v>125</v>
      </c>
      <c r="B112" s="4"/>
      <c r="C112" s="4"/>
      <c r="D112" s="5">
        <f t="shared" si="85"/>
        <v>0</v>
      </c>
      <c r="E112" s="6" t="str">
        <f t="shared" si="86"/>
        <v/>
      </c>
      <c r="F112" s="4"/>
      <c r="G112" s="4"/>
      <c r="H112" s="5">
        <f t="shared" si="87"/>
        <v>0</v>
      </c>
      <c r="I112" s="6" t="str">
        <f t="shared" si="88"/>
        <v/>
      </c>
      <c r="J112" s="5">
        <f>0</f>
        <v>0</v>
      </c>
      <c r="K112" s="4"/>
      <c r="L112" s="5">
        <f t="shared" si="89"/>
        <v>0</v>
      </c>
      <c r="M112" s="6" t="str">
        <f t="shared" si="90"/>
        <v/>
      </c>
      <c r="N112" s="4"/>
      <c r="O112" s="4"/>
      <c r="P112" s="5">
        <f t="shared" si="91"/>
        <v>0</v>
      </c>
      <c r="Q112" s="6" t="str">
        <f t="shared" si="92"/>
        <v/>
      </c>
      <c r="R112" s="5">
        <f>0</f>
        <v>0</v>
      </c>
      <c r="S112" s="4"/>
      <c r="T112" s="5">
        <f t="shared" si="93"/>
        <v>0</v>
      </c>
      <c r="U112" s="6" t="str">
        <f t="shared" si="94"/>
        <v/>
      </c>
      <c r="V112" s="4"/>
      <c r="W112" s="4"/>
      <c r="X112" s="5">
        <f t="shared" si="95"/>
        <v>0</v>
      </c>
      <c r="Y112" s="6" t="str">
        <f t="shared" si="96"/>
        <v/>
      </c>
      <c r="Z112" s="4"/>
      <c r="AA112" s="4"/>
      <c r="AB112" s="5">
        <f t="shared" si="97"/>
        <v>0</v>
      </c>
      <c r="AC112" s="6" t="str">
        <f t="shared" si="98"/>
        <v/>
      </c>
      <c r="AD112" s="4"/>
      <c r="AE112" s="4"/>
      <c r="AF112" s="5">
        <f t="shared" si="99"/>
        <v>0</v>
      </c>
      <c r="AG112" s="6" t="str">
        <f t="shared" si="100"/>
        <v/>
      </c>
      <c r="AH112" s="4"/>
      <c r="AI112" s="4"/>
      <c r="AJ112" s="5">
        <f t="shared" si="101"/>
        <v>0</v>
      </c>
      <c r="AK112" s="6" t="str">
        <f t="shared" si="102"/>
        <v/>
      </c>
      <c r="AL112" s="5">
        <f>0</f>
        <v>0</v>
      </c>
      <c r="AM112" s="4"/>
      <c r="AN112" s="5">
        <f t="shared" si="103"/>
        <v>0</v>
      </c>
      <c r="AO112" s="6" t="str">
        <f t="shared" si="104"/>
        <v/>
      </c>
      <c r="AP112" s="4"/>
      <c r="AQ112" s="4"/>
      <c r="AR112" s="5">
        <f t="shared" si="105"/>
        <v>0</v>
      </c>
      <c r="AS112" s="6" t="str">
        <f t="shared" si="106"/>
        <v/>
      </c>
      <c r="AT112" s="5">
        <f>0</f>
        <v>0</v>
      </c>
      <c r="AU112" s="4"/>
      <c r="AV112" s="5">
        <f t="shared" si="107"/>
        <v>0</v>
      </c>
      <c r="AW112" s="6" t="str">
        <f t="shared" si="108"/>
        <v/>
      </c>
      <c r="AX112" s="5">
        <f t="shared" si="109"/>
        <v>0</v>
      </c>
      <c r="AY112" s="5">
        <f t="shared" si="110"/>
        <v>0</v>
      </c>
      <c r="AZ112" s="5">
        <f t="shared" si="111"/>
        <v>0</v>
      </c>
      <c r="BA112" s="6" t="str">
        <f t="shared" si="112"/>
        <v/>
      </c>
    </row>
    <row r="113" spans="1:53" x14ac:dyDescent="0.25">
      <c r="A113" s="3" t="s">
        <v>126</v>
      </c>
      <c r="B113" s="7">
        <f>(((B109)+(B110))+(B111))+(B112)</f>
        <v>0</v>
      </c>
      <c r="C113" s="7">
        <f>(((C109)+(C110))+(C111))+(C112)</f>
        <v>1602.5</v>
      </c>
      <c r="D113" s="7">
        <f t="shared" si="85"/>
        <v>-1602.5</v>
      </c>
      <c r="E113" s="8">
        <f t="shared" si="86"/>
        <v>0</v>
      </c>
      <c r="F113" s="7">
        <f>(((F109)+(F110))+(F111))+(F112)</f>
        <v>0</v>
      </c>
      <c r="G113" s="7">
        <f>(((G109)+(G110))+(G111))+(G112)</f>
        <v>1602.5</v>
      </c>
      <c r="H113" s="7">
        <f t="shared" si="87"/>
        <v>-1602.5</v>
      </c>
      <c r="I113" s="8">
        <f t="shared" si="88"/>
        <v>0</v>
      </c>
      <c r="J113" s="7">
        <f>(((J109)+(J110))+(J111))+(J112)</f>
        <v>300</v>
      </c>
      <c r="K113" s="7">
        <f>(((K109)+(K110))+(K111))+(K112)</f>
        <v>1602.5</v>
      </c>
      <c r="L113" s="7">
        <f t="shared" si="89"/>
        <v>-1302.5</v>
      </c>
      <c r="M113" s="8">
        <f t="shared" si="90"/>
        <v>0.18720748829953199</v>
      </c>
      <c r="N113" s="7">
        <f>(((N109)+(N110))+(N111))+(N112)</f>
        <v>0</v>
      </c>
      <c r="O113" s="7">
        <f>(((O109)+(O110))+(O111))+(O112)</f>
        <v>1602.5</v>
      </c>
      <c r="P113" s="7">
        <f t="shared" si="91"/>
        <v>-1602.5</v>
      </c>
      <c r="Q113" s="8">
        <f t="shared" si="92"/>
        <v>0</v>
      </c>
      <c r="R113" s="7">
        <f>(((R109)+(R110))+(R111))+(R112)</f>
        <v>2100</v>
      </c>
      <c r="S113" s="7">
        <f>(((S109)+(S110))+(S111))+(S112)</f>
        <v>1602.5</v>
      </c>
      <c r="T113" s="7">
        <f t="shared" si="93"/>
        <v>497.5</v>
      </c>
      <c r="U113" s="8">
        <f t="shared" si="94"/>
        <v>1.3104524180967239</v>
      </c>
      <c r="V113" s="7">
        <f>(((V109)+(V110))+(V111))+(V112)</f>
        <v>0</v>
      </c>
      <c r="W113" s="7">
        <f>(((W109)+(W110))+(W111))+(W112)</f>
        <v>1602.5</v>
      </c>
      <c r="X113" s="7">
        <f t="shared" si="95"/>
        <v>-1602.5</v>
      </c>
      <c r="Y113" s="8">
        <f t="shared" si="96"/>
        <v>0</v>
      </c>
      <c r="Z113" s="7">
        <f>(((Z109)+(Z110))+(Z111))+(Z112)</f>
        <v>0</v>
      </c>
      <c r="AA113" s="7">
        <f>(((AA109)+(AA110))+(AA111))+(AA112)</f>
        <v>1602.5</v>
      </c>
      <c r="AB113" s="7">
        <f t="shared" si="97"/>
        <v>-1602.5</v>
      </c>
      <c r="AC113" s="8">
        <f t="shared" si="98"/>
        <v>0</v>
      </c>
      <c r="AD113" s="7">
        <f>(((AD109)+(AD110))+(AD111))+(AD112)</f>
        <v>0</v>
      </c>
      <c r="AE113" s="7">
        <f>(((AE109)+(AE110))+(AE111))+(AE112)</f>
        <v>1602.5</v>
      </c>
      <c r="AF113" s="7">
        <f t="shared" si="99"/>
        <v>-1602.5</v>
      </c>
      <c r="AG113" s="8">
        <f t="shared" si="100"/>
        <v>0</v>
      </c>
      <c r="AH113" s="7">
        <f>(((AH109)+(AH110))+(AH111))+(AH112)</f>
        <v>0</v>
      </c>
      <c r="AI113" s="7">
        <f>(((AI109)+(AI110))+(AI111))+(AI112)</f>
        <v>1602.5</v>
      </c>
      <c r="AJ113" s="7">
        <f t="shared" si="101"/>
        <v>-1602.5</v>
      </c>
      <c r="AK113" s="8">
        <f t="shared" si="102"/>
        <v>0</v>
      </c>
      <c r="AL113" s="7">
        <f>(((AL109)+(AL110))+(AL111))+(AL112)</f>
        <v>480</v>
      </c>
      <c r="AM113" s="7">
        <f>(((AM109)+(AM110))+(AM111))+(AM112)</f>
        <v>1602.5</v>
      </c>
      <c r="AN113" s="7">
        <f t="shared" si="103"/>
        <v>-1122.5</v>
      </c>
      <c r="AO113" s="8">
        <f t="shared" si="104"/>
        <v>0.29953198127925118</v>
      </c>
      <c r="AP113" s="7">
        <f>(((AP109)+(AP110))+(AP111))+(AP112)</f>
        <v>0</v>
      </c>
      <c r="AQ113" s="7">
        <f>(((AQ109)+(AQ110))+(AQ111))+(AQ112)</f>
        <v>1602.5</v>
      </c>
      <c r="AR113" s="7">
        <f t="shared" si="105"/>
        <v>-1602.5</v>
      </c>
      <c r="AS113" s="8">
        <f t="shared" si="106"/>
        <v>0</v>
      </c>
      <c r="AT113" s="7">
        <f>(((AT109)+(AT110))+(AT111))+(AT112)</f>
        <v>700</v>
      </c>
      <c r="AU113" s="7">
        <f>(((AU109)+(AU110))+(AU111))+(AU112)</f>
        <v>1602.5</v>
      </c>
      <c r="AV113" s="7">
        <f t="shared" si="107"/>
        <v>-902.5</v>
      </c>
      <c r="AW113" s="8">
        <f t="shared" si="108"/>
        <v>0.43681747269890797</v>
      </c>
      <c r="AX113" s="7">
        <f t="shared" si="109"/>
        <v>3580</v>
      </c>
      <c r="AY113" s="7">
        <f t="shared" si="110"/>
        <v>19230</v>
      </c>
      <c r="AZ113" s="7">
        <f t="shared" si="111"/>
        <v>-15650</v>
      </c>
      <c r="BA113" s="8">
        <f t="shared" si="112"/>
        <v>0.18616744669786792</v>
      </c>
    </row>
    <row r="114" spans="1:53" x14ac:dyDescent="0.25">
      <c r="A114" s="3" t="s">
        <v>127</v>
      </c>
      <c r="B114" s="4"/>
      <c r="C114" s="5">
        <f>446.17</f>
        <v>446.17</v>
      </c>
      <c r="D114" s="5">
        <f t="shared" si="85"/>
        <v>-446.17</v>
      </c>
      <c r="E114" s="6">
        <f t="shared" si="86"/>
        <v>0</v>
      </c>
      <c r="F114" s="4"/>
      <c r="G114" s="5">
        <f>446.17</f>
        <v>446.17</v>
      </c>
      <c r="H114" s="5">
        <f t="shared" si="87"/>
        <v>-446.17</v>
      </c>
      <c r="I114" s="6">
        <f t="shared" si="88"/>
        <v>0</v>
      </c>
      <c r="J114" s="4"/>
      <c r="K114" s="5">
        <f>446.17</f>
        <v>446.17</v>
      </c>
      <c r="L114" s="5">
        <f t="shared" si="89"/>
        <v>-446.17</v>
      </c>
      <c r="M114" s="6">
        <f t="shared" si="90"/>
        <v>0</v>
      </c>
      <c r="N114" s="4"/>
      <c r="O114" s="5">
        <f>446.17</f>
        <v>446.17</v>
      </c>
      <c r="P114" s="5">
        <f t="shared" si="91"/>
        <v>-446.17</v>
      </c>
      <c r="Q114" s="6">
        <f t="shared" si="92"/>
        <v>0</v>
      </c>
      <c r="R114" s="4"/>
      <c r="S114" s="5">
        <f>446.17</f>
        <v>446.17</v>
      </c>
      <c r="T114" s="5">
        <f t="shared" si="93"/>
        <v>-446.17</v>
      </c>
      <c r="U114" s="6">
        <f t="shared" si="94"/>
        <v>0</v>
      </c>
      <c r="V114" s="4"/>
      <c r="W114" s="5">
        <f>446.17</f>
        <v>446.17</v>
      </c>
      <c r="X114" s="5">
        <f t="shared" si="95"/>
        <v>-446.17</v>
      </c>
      <c r="Y114" s="6">
        <f t="shared" si="96"/>
        <v>0</v>
      </c>
      <c r="Z114" s="4"/>
      <c r="AA114" s="5">
        <f>446.17</f>
        <v>446.17</v>
      </c>
      <c r="AB114" s="5">
        <f t="shared" si="97"/>
        <v>-446.17</v>
      </c>
      <c r="AC114" s="6">
        <f t="shared" si="98"/>
        <v>0</v>
      </c>
      <c r="AD114" s="4"/>
      <c r="AE114" s="5">
        <f>446.17</f>
        <v>446.17</v>
      </c>
      <c r="AF114" s="5">
        <f t="shared" si="99"/>
        <v>-446.17</v>
      </c>
      <c r="AG114" s="6">
        <f t="shared" si="100"/>
        <v>0</v>
      </c>
      <c r="AH114" s="4"/>
      <c r="AI114" s="5">
        <f>446.17</f>
        <v>446.17</v>
      </c>
      <c r="AJ114" s="5">
        <f t="shared" si="101"/>
        <v>-446.17</v>
      </c>
      <c r="AK114" s="6">
        <f t="shared" si="102"/>
        <v>0</v>
      </c>
      <c r="AL114" s="4"/>
      <c r="AM114" s="5">
        <f>446.17</f>
        <v>446.17</v>
      </c>
      <c r="AN114" s="5">
        <f t="shared" si="103"/>
        <v>-446.17</v>
      </c>
      <c r="AO114" s="6">
        <f t="shared" si="104"/>
        <v>0</v>
      </c>
      <c r="AP114" s="4"/>
      <c r="AQ114" s="5">
        <f>446.17</f>
        <v>446.17</v>
      </c>
      <c r="AR114" s="5">
        <f t="shared" si="105"/>
        <v>-446.17</v>
      </c>
      <c r="AS114" s="6">
        <f t="shared" si="106"/>
        <v>0</v>
      </c>
      <c r="AT114" s="4"/>
      <c r="AU114" s="5">
        <f>446.17</f>
        <v>446.17</v>
      </c>
      <c r="AV114" s="5">
        <f t="shared" si="107"/>
        <v>-446.17</v>
      </c>
      <c r="AW114" s="6">
        <f t="shared" si="108"/>
        <v>0</v>
      </c>
      <c r="AX114" s="5">
        <f t="shared" si="109"/>
        <v>0</v>
      </c>
      <c r="AY114" s="5">
        <f t="shared" si="110"/>
        <v>5354.04</v>
      </c>
      <c r="AZ114" s="5">
        <f t="shared" si="111"/>
        <v>-5354.04</v>
      </c>
      <c r="BA114" s="6">
        <f t="shared" si="112"/>
        <v>0</v>
      </c>
    </row>
    <row r="115" spans="1:53" x14ac:dyDescent="0.25">
      <c r="A115" s="3" t="s">
        <v>128</v>
      </c>
      <c r="B115" s="5">
        <f>782.27</f>
        <v>782.27</v>
      </c>
      <c r="C115" s="4"/>
      <c r="D115" s="5">
        <f t="shared" si="85"/>
        <v>782.27</v>
      </c>
      <c r="E115" s="6" t="str">
        <f t="shared" si="86"/>
        <v/>
      </c>
      <c r="F115" s="5">
        <f>443.65</f>
        <v>443.65</v>
      </c>
      <c r="G115" s="4"/>
      <c r="H115" s="5">
        <f t="shared" si="87"/>
        <v>443.65</v>
      </c>
      <c r="I115" s="6" t="str">
        <f t="shared" si="88"/>
        <v/>
      </c>
      <c r="J115" s="5">
        <f>3.77</f>
        <v>3.77</v>
      </c>
      <c r="K115" s="4"/>
      <c r="L115" s="5">
        <f t="shared" si="89"/>
        <v>3.77</v>
      </c>
      <c r="M115" s="6" t="str">
        <f t="shared" si="90"/>
        <v/>
      </c>
      <c r="N115" s="5">
        <f>4.49</f>
        <v>4.49</v>
      </c>
      <c r="O115" s="4"/>
      <c r="P115" s="5">
        <f t="shared" si="91"/>
        <v>4.49</v>
      </c>
      <c r="Q115" s="6" t="str">
        <f t="shared" si="92"/>
        <v/>
      </c>
      <c r="R115" s="5">
        <f>5123.85</f>
        <v>5123.8500000000004</v>
      </c>
      <c r="S115" s="4"/>
      <c r="T115" s="5">
        <f t="shared" si="93"/>
        <v>5123.8500000000004</v>
      </c>
      <c r="U115" s="6" t="str">
        <f t="shared" si="94"/>
        <v/>
      </c>
      <c r="V115" s="5">
        <f>20.8</f>
        <v>20.8</v>
      </c>
      <c r="W115" s="4"/>
      <c r="X115" s="5">
        <f t="shared" si="95"/>
        <v>20.8</v>
      </c>
      <c r="Y115" s="6" t="str">
        <f t="shared" si="96"/>
        <v/>
      </c>
      <c r="Z115" s="4"/>
      <c r="AA115" s="4"/>
      <c r="AB115" s="5">
        <f t="shared" si="97"/>
        <v>0</v>
      </c>
      <c r="AC115" s="6" t="str">
        <f t="shared" si="98"/>
        <v/>
      </c>
      <c r="AD115" s="4"/>
      <c r="AE115" s="4"/>
      <c r="AF115" s="5">
        <f t="shared" si="99"/>
        <v>0</v>
      </c>
      <c r="AG115" s="6" t="str">
        <f t="shared" si="100"/>
        <v/>
      </c>
      <c r="AH115" s="4"/>
      <c r="AI115" s="4"/>
      <c r="AJ115" s="5">
        <f t="shared" si="101"/>
        <v>0</v>
      </c>
      <c r="AK115" s="6" t="str">
        <f t="shared" si="102"/>
        <v/>
      </c>
      <c r="AL115" s="4"/>
      <c r="AM115" s="4"/>
      <c r="AN115" s="5">
        <f t="shared" si="103"/>
        <v>0</v>
      </c>
      <c r="AO115" s="6" t="str">
        <f t="shared" si="104"/>
        <v/>
      </c>
      <c r="AP115" s="4"/>
      <c r="AQ115" s="4"/>
      <c r="AR115" s="5">
        <f t="shared" si="105"/>
        <v>0</v>
      </c>
      <c r="AS115" s="6" t="str">
        <f t="shared" si="106"/>
        <v/>
      </c>
      <c r="AT115" s="4"/>
      <c r="AU115" s="4"/>
      <c r="AV115" s="5">
        <f t="shared" si="107"/>
        <v>0</v>
      </c>
      <c r="AW115" s="6" t="str">
        <f t="shared" si="108"/>
        <v/>
      </c>
      <c r="AX115" s="5">
        <f t="shared" si="109"/>
        <v>6378.8300000000008</v>
      </c>
      <c r="AY115" s="5">
        <f t="shared" si="110"/>
        <v>0</v>
      </c>
      <c r="AZ115" s="5">
        <f t="shared" si="111"/>
        <v>6378.8300000000008</v>
      </c>
      <c r="BA115" s="6" t="str">
        <f t="shared" si="112"/>
        <v/>
      </c>
    </row>
    <row r="116" spans="1:53" x14ac:dyDescent="0.25">
      <c r="A116" s="3" t="s">
        <v>129</v>
      </c>
      <c r="B116" s="5">
        <f>421.22</f>
        <v>421.22</v>
      </c>
      <c r="C116" s="4"/>
      <c r="D116" s="5">
        <f t="shared" si="85"/>
        <v>421.22</v>
      </c>
      <c r="E116" s="6" t="str">
        <f t="shared" si="86"/>
        <v/>
      </c>
      <c r="F116" s="5">
        <f>238.89</f>
        <v>238.89</v>
      </c>
      <c r="G116" s="4"/>
      <c r="H116" s="5">
        <f t="shared" si="87"/>
        <v>238.89</v>
      </c>
      <c r="I116" s="6" t="str">
        <f t="shared" si="88"/>
        <v/>
      </c>
      <c r="J116" s="5">
        <f>2.03</f>
        <v>2.0299999999999998</v>
      </c>
      <c r="K116" s="4"/>
      <c r="L116" s="5">
        <f t="shared" si="89"/>
        <v>2.0299999999999998</v>
      </c>
      <c r="M116" s="6" t="str">
        <f t="shared" si="90"/>
        <v/>
      </c>
      <c r="N116" s="5">
        <f>2.42</f>
        <v>2.42</v>
      </c>
      <c r="O116" s="4"/>
      <c r="P116" s="5">
        <f t="shared" si="91"/>
        <v>2.42</v>
      </c>
      <c r="Q116" s="6" t="str">
        <f t="shared" si="92"/>
        <v/>
      </c>
      <c r="R116" s="5">
        <f>2758.99</f>
        <v>2758.99</v>
      </c>
      <c r="S116" s="4"/>
      <c r="T116" s="5">
        <f t="shared" si="93"/>
        <v>2758.99</v>
      </c>
      <c r="U116" s="6" t="str">
        <f t="shared" si="94"/>
        <v/>
      </c>
      <c r="V116" s="5">
        <f>11.2</f>
        <v>11.2</v>
      </c>
      <c r="W116" s="4"/>
      <c r="X116" s="5">
        <f t="shared" si="95"/>
        <v>11.2</v>
      </c>
      <c r="Y116" s="6" t="str">
        <f t="shared" si="96"/>
        <v/>
      </c>
      <c r="Z116" s="4"/>
      <c r="AA116" s="4"/>
      <c r="AB116" s="5">
        <f t="shared" si="97"/>
        <v>0</v>
      </c>
      <c r="AC116" s="6" t="str">
        <f t="shared" si="98"/>
        <v/>
      </c>
      <c r="AD116" s="4"/>
      <c r="AE116" s="4"/>
      <c r="AF116" s="5">
        <f t="shared" si="99"/>
        <v>0</v>
      </c>
      <c r="AG116" s="6" t="str">
        <f t="shared" si="100"/>
        <v/>
      </c>
      <c r="AH116" s="4"/>
      <c r="AI116" s="4"/>
      <c r="AJ116" s="5">
        <f t="shared" si="101"/>
        <v>0</v>
      </c>
      <c r="AK116" s="6" t="str">
        <f t="shared" si="102"/>
        <v/>
      </c>
      <c r="AL116" s="4"/>
      <c r="AM116" s="4"/>
      <c r="AN116" s="5">
        <f t="shared" si="103"/>
        <v>0</v>
      </c>
      <c r="AO116" s="6" t="str">
        <f t="shared" si="104"/>
        <v/>
      </c>
      <c r="AP116" s="4"/>
      <c r="AQ116" s="4"/>
      <c r="AR116" s="5">
        <f t="shared" si="105"/>
        <v>0</v>
      </c>
      <c r="AS116" s="6" t="str">
        <f t="shared" si="106"/>
        <v/>
      </c>
      <c r="AT116" s="4"/>
      <c r="AU116" s="4"/>
      <c r="AV116" s="5">
        <f t="shared" si="107"/>
        <v>0</v>
      </c>
      <c r="AW116" s="6" t="str">
        <f t="shared" si="108"/>
        <v/>
      </c>
      <c r="AX116" s="5">
        <f t="shared" si="109"/>
        <v>3434.7499999999995</v>
      </c>
      <c r="AY116" s="5">
        <f t="shared" si="110"/>
        <v>0</v>
      </c>
      <c r="AZ116" s="5">
        <f t="shared" si="111"/>
        <v>3434.7499999999995</v>
      </c>
      <c r="BA116" s="6" t="str">
        <f t="shared" si="112"/>
        <v/>
      </c>
    </row>
    <row r="117" spans="1:53" x14ac:dyDescent="0.25">
      <c r="A117" s="3" t="s">
        <v>130</v>
      </c>
      <c r="B117" s="5">
        <f>0</f>
        <v>0</v>
      </c>
      <c r="C117" s="4"/>
      <c r="D117" s="5">
        <f t="shared" si="85"/>
        <v>0</v>
      </c>
      <c r="E117" s="6" t="str">
        <f t="shared" si="86"/>
        <v/>
      </c>
      <c r="F117" s="5">
        <f>0</f>
        <v>0</v>
      </c>
      <c r="G117" s="4"/>
      <c r="H117" s="5">
        <f t="shared" si="87"/>
        <v>0</v>
      </c>
      <c r="I117" s="6" t="str">
        <f t="shared" si="88"/>
        <v/>
      </c>
      <c r="J117" s="5">
        <f>0</f>
        <v>0</v>
      </c>
      <c r="K117" s="4"/>
      <c r="L117" s="5">
        <f t="shared" si="89"/>
        <v>0</v>
      </c>
      <c r="M117" s="6" t="str">
        <f t="shared" si="90"/>
        <v/>
      </c>
      <c r="N117" s="5">
        <f>0</f>
        <v>0</v>
      </c>
      <c r="O117" s="4"/>
      <c r="P117" s="5">
        <f t="shared" si="91"/>
        <v>0</v>
      </c>
      <c r="Q117" s="6" t="str">
        <f t="shared" si="92"/>
        <v/>
      </c>
      <c r="R117" s="5">
        <f>0</f>
        <v>0</v>
      </c>
      <c r="S117" s="4"/>
      <c r="T117" s="5">
        <f t="shared" si="93"/>
        <v>0</v>
      </c>
      <c r="U117" s="6" t="str">
        <f t="shared" si="94"/>
        <v/>
      </c>
      <c r="V117" s="5">
        <f>0</f>
        <v>0</v>
      </c>
      <c r="W117" s="4"/>
      <c r="X117" s="5">
        <f t="shared" si="95"/>
        <v>0</v>
      </c>
      <c r="Y117" s="6" t="str">
        <f t="shared" si="96"/>
        <v/>
      </c>
      <c r="Z117" s="4"/>
      <c r="AA117" s="4"/>
      <c r="AB117" s="5">
        <f t="shared" si="97"/>
        <v>0</v>
      </c>
      <c r="AC117" s="6" t="str">
        <f t="shared" si="98"/>
        <v/>
      </c>
      <c r="AD117" s="4"/>
      <c r="AE117" s="4"/>
      <c r="AF117" s="5">
        <f t="shared" si="99"/>
        <v>0</v>
      </c>
      <c r="AG117" s="6" t="str">
        <f t="shared" si="100"/>
        <v/>
      </c>
      <c r="AH117" s="4"/>
      <c r="AI117" s="4"/>
      <c r="AJ117" s="5">
        <f t="shared" si="101"/>
        <v>0</v>
      </c>
      <c r="AK117" s="6" t="str">
        <f t="shared" si="102"/>
        <v/>
      </c>
      <c r="AL117" s="4"/>
      <c r="AM117" s="4"/>
      <c r="AN117" s="5">
        <f t="shared" si="103"/>
        <v>0</v>
      </c>
      <c r="AO117" s="6" t="str">
        <f t="shared" si="104"/>
        <v/>
      </c>
      <c r="AP117" s="4"/>
      <c r="AQ117" s="4"/>
      <c r="AR117" s="5">
        <f t="shared" si="105"/>
        <v>0</v>
      </c>
      <c r="AS117" s="6" t="str">
        <f t="shared" si="106"/>
        <v/>
      </c>
      <c r="AT117" s="4"/>
      <c r="AU117" s="4"/>
      <c r="AV117" s="5">
        <f t="shared" si="107"/>
        <v>0</v>
      </c>
      <c r="AW117" s="6" t="str">
        <f t="shared" si="108"/>
        <v/>
      </c>
      <c r="AX117" s="5">
        <f t="shared" si="109"/>
        <v>0</v>
      </c>
      <c r="AY117" s="5">
        <f t="shared" si="110"/>
        <v>0</v>
      </c>
      <c r="AZ117" s="5">
        <f t="shared" si="111"/>
        <v>0</v>
      </c>
      <c r="BA117" s="6" t="str">
        <f t="shared" si="112"/>
        <v/>
      </c>
    </row>
    <row r="118" spans="1:53" x14ac:dyDescent="0.25">
      <c r="A118" s="3" t="s">
        <v>131</v>
      </c>
      <c r="B118" s="7">
        <f>(((B114)+(B115))+(B116))+(B117)</f>
        <v>1203.49</v>
      </c>
      <c r="C118" s="7">
        <f>(((C114)+(C115))+(C116))+(C117)</f>
        <v>446.17</v>
      </c>
      <c r="D118" s="7">
        <f t="shared" si="85"/>
        <v>757.31999999999994</v>
      </c>
      <c r="E118" s="8">
        <f t="shared" si="86"/>
        <v>2.6973799224510837</v>
      </c>
      <c r="F118" s="7">
        <f>(((F114)+(F115))+(F116))+(F117)</f>
        <v>682.54</v>
      </c>
      <c r="G118" s="7">
        <f>(((G114)+(G115))+(G116))+(G117)</f>
        <v>446.17</v>
      </c>
      <c r="H118" s="7">
        <f t="shared" si="87"/>
        <v>236.36999999999995</v>
      </c>
      <c r="I118" s="8">
        <f t="shared" si="88"/>
        <v>1.5297756460541945</v>
      </c>
      <c r="J118" s="7">
        <f>(((J114)+(J115))+(J116))+(J117)</f>
        <v>5.8</v>
      </c>
      <c r="K118" s="7">
        <f>(((K114)+(K115))+(K116))+(K117)</f>
        <v>446.17</v>
      </c>
      <c r="L118" s="7">
        <f t="shared" si="89"/>
        <v>-440.37</v>
      </c>
      <c r="M118" s="8">
        <f t="shared" si="90"/>
        <v>1.2999529327386421E-2</v>
      </c>
      <c r="N118" s="7">
        <f>(((N114)+(N115))+(N116))+(N117)</f>
        <v>6.91</v>
      </c>
      <c r="O118" s="7">
        <f>(((O114)+(O115))+(O116))+(O117)</f>
        <v>446.17</v>
      </c>
      <c r="P118" s="7">
        <f t="shared" si="91"/>
        <v>-439.26</v>
      </c>
      <c r="Q118" s="8">
        <f t="shared" si="92"/>
        <v>1.5487370284868997E-2</v>
      </c>
      <c r="R118" s="7">
        <f>(((R114)+(R115))+(R116))+(R117)</f>
        <v>7882.84</v>
      </c>
      <c r="S118" s="7">
        <f>(((S114)+(S115))+(S116))+(S117)</f>
        <v>446.17</v>
      </c>
      <c r="T118" s="7">
        <f t="shared" si="93"/>
        <v>7436.67</v>
      </c>
      <c r="U118" s="8">
        <f t="shared" si="94"/>
        <v>17.66779478674048</v>
      </c>
      <c r="V118" s="7">
        <f>(((V114)+(V115))+(V116))+(V117)</f>
        <v>32</v>
      </c>
      <c r="W118" s="7">
        <f>(((W114)+(W115))+(W116))+(W117)</f>
        <v>446.17</v>
      </c>
      <c r="X118" s="7">
        <f t="shared" si="95"/>
        <v>-414.17</v>
      </c>
      <c r="Y118" s="8">
        <f t="shared" si="96"/>
        <v>7.1721541116614745E-2</v>
      </c>
      <c r="Z118" s="7">
        <f>(((Z114)+(Z115))+(Z116))+(Z117)</f>
        <v>0</v>
      </c>
      <c r="AA118" s="7">
        <f>(((AA114)+(AA115))+(AA116))+(AA117)</f>
        <v>446.17</v>
      </c>
      <c r="AB118" s="7">
        <f t="shared" si="97"/>
        <v>-446.17</v>
      </c>
      <c r="AC118" s="8">
        <f t="shared" si="98"/>
        <v>0</v>
      </c>
      <c r="AD118" s="7">
        <f>(((AD114)+(AD115))+(AD116))+(AD117)</f>
        <v>0</v>
      </c>
      <c r="AE118" s="7">
        <f>(((AE114)+(AE115))+(AE116))+(AE117)</f>
        <v>446.17</v>
      </c>
      <c r="AF118" s="7">
        <f t="shared" si="99"/>
        <v>-446.17</v>
      </c>
      <c r="AG118" s="8">
        <f t="shared" si="100"/>
        <v>0</v>
      </c>
      <c r="AH118" s="7">
        <f>(((AH114)+(AH115))+(AH116))+(AH117)</f>
        <v>0</v>
      </c>
      <c r="AI118" s="7">
        <f>(((AI114)+(AI115))+(AI116))+(AI117)</f>
        <v>446.17</v>
      </c>
      <c r="AJ118" s="7">
        <f t="shared" si="101"/>
        <v>-446.17</v>
      </c>
      <c r="AK118" s="8">
        <f t="shared" si="102"/>
        <v>0</v>
      </c>
      <c r="AL118" s="7">
        <f>(((AL114)+(AL115))+(AL116))+(AL117)</f>
        <v>0</v>
      </c>
      <c r="AM118" s="7">
        <f>(((AM114)+(AM115))+(AM116))+(AM117)</f>
        <v>446.17</v>
      </c>
      <c r="AN118" s="7">
        <f t="shared" si="103"/>
        <v>-446.17</v>
      </c>
      <c r="AO118" s="8">
        <f t="shared" si="104"/>
        <v>0</v>
      </c>
      <c r="AP118" s="7">
        <f>(((AP114)+(AP115))+(AP116))+(AP117)</f>
        <v>0</v>
      </c>
      <c r="AQ118" s="7">
        <f>(((AQ114)+(AQ115))+(AQ116))+(AQ117)</f>
        <v>446.17</v>
      </c>
      <c r="AR118" s="7">
        <f t="shared" si="105"/>
        <v>-446.17</v>
      </c>
      <c r="AS118" s="8">
        <f t="shared" si="106"/>
        <v>0</v>
      </c>
      <c r="AT118" s="7">
        <f>(((AT114)+(AT115))+(AT116))+(AT117)</f>
        <v>0</v>
      </c>
      <c r="AU118" s="7">
        <f>(((AU114)+(AU115))+(AU116))+(AU117)</f>
        <v>446.17</v>
      </c>
      <c r="AV118" s="7">
        <f t="shared" si="107"/>
        <v>-446.17</v>
      </c>
      <c r="AW118" s="8">
        <f t="shared" si="108"/>
        <v>0</v>
      </c>
      <c r="AX118" s="7">
        <f t="shared" si="109"/>
        <v>9813.58</v>
      </c>
      <c r="AY118" s="7">
        <f t="shared" si="110"/>
        <v>5354.04</v>
      </c>
      <c r="AZ118" s="7">
        <f t="shared" si="111"/>
        <v>4459.54</v>
      </c>
      <c r="BA118" s="8">
        <f t="shared" si="112"/>
        <v>1.8329298996645524</v>
      </c>
    </row>
    <row r="119" spans="1:53" x14ac:dyDescent="0.25">
      <c r="A119" s="3" t="s">
        <v>132</v>
      </c>
      <c r="B119" s="4"/>
      <c r="C119" s="5">
        <f>1281.67</f>
        <v>1281.67</v>
      </c>
      <c r="D119" s="5">
        <f t="shared" si="85"/>
        <v>-1281.67</v>
      </c>
      <c r="E119" s="6">
        <f t="shared" si="86"/>
        <v>0</v>
      </c>
      <c r="F119" s="4"/>
      <c r="G119" s="5">
        <f>1281.67</f>
        <v>1281.67</v>
      </c>
      <c r="H119" s="5">
        <f t="shared" si="87"/>
        <v>-1281.67</v>
      </c>
      <c r="I119" s="6">
        <f t="shared" si="88"/>
        <v>0</v>
      </c>
      <c r="J119" s="4"/>
      <c r="K119" s="5">
        <f>1281.67</f>
        <v>1281.67</v>
      </c>
      <c r="L119" s="5">
        <f t="shared" si="89"/>
        <v>-1281.67</v>
      </c>
      <c r="M119" s="6">
        <f t="shared" si="90"/>
        <v>0</v>
      </c>
      <c r="N119" s="4"/>
      <c r="O119" s="5">
        <f>1281.67</f>
        <v>1281.67</v>
      </c>
      <c r="P119" s="5">
        <f t="shared" si="91"/>
        <v>-1281.67</v>
      </c>
      <c r="Q119" s="6">
        <f t="shared" si="92"/>
        <v>0</v>
      </c>
      <c r="R119" s="4"/>
      <c r="S119" s="5">
        <f>1281.67</f>
        <v>1281.67</v>
      </c>
      <c r="T119" s="5">
        <f t="shared" si="93"/>
        <v>-1281.67</v>
      </c>
      <c r="U119" s="6">
        <f t="shared" si="94"/>
        <v>0</v>
      </c>
      <c r="V119" s="4"/>
      <c r="W119" s="5">
        <f>1281.67</f>
        <v>1281.67</v>
      </c>
      <c r="X119" s="5">
        <f t="shared" si="95"/>
        <v>-1281.67</v>
      </c>
      <c r="Y119" s="6">
        <f t="shared" si="96"/>
        <v>0</v>
      </c>
      <c r="Z119" s="4"/>
      <c r="AA119" s="5">
        <f>1281.67</f>
        <v>1281.67</v>
      </c>
      <c r="AB119" s="5">
        <f t="shared" si="97"/>
        <v>-1281.67</v>
      </c>
      <c r="AC119" s="6">
        <f t="shared" si="98"/>
        <v>0</v>
      </c>
      <c r="AD119" s="4"/>
      <c r="AE119" s="5">
        <f>1281.67</f>
        <v>1281.67</v>
      </c>
      <c r="AF119" s="5">
        <f t="shared" si="99"/>
        <v>-1281.67</v>
      </c>
      <c r="AG119" s="6">
        <f t="shared" si="100"/>
        <v>0</v>
      </c>
      <c r="AH119" s="4"/>
      <c r="AI119" s="5">
        <f>1281.67</f>
        <v>1281.67</v>
      </c>
      <c r="AJ119" s="5">
        <f t="shared" si="101"/>
        <v>-1281.67</v>
      </c>
      <c r="AK119" s="6">
        <f t="shared" si="102"/>
        <v>0</v>
      </c>
      <c r="AL119" s="4"/>
      <c r="AM119" s="5">
        <f>1281.67</f>
        <v>1281.67</v>
      </c>
      <c r="AN119" s="5">
        <f t="shared" si="103"/>
        <v>-1281.67</v>
      </c>
      <c r="AO119" s="6">
        <f t="shared" si="104"/>
        <v>0</v>
      </c>
      <c r="AP119" s="4"/>
      <c r="AQ119" s="5">
        <f>1281.67</f>
        <v>1281.67</v>
      </c>
      <c r="AR119" s="5">
        <f t="shared" si="105"/>
        <v>-1281.67</v>
      </c>
      <c r="AS119" s="6">
        <f t="shared" si="106"/>
        <v>0</v>
      </c>
      <c r="AT119" s="4"/>
      <c r="AU119" s="5">
        <f>1281.67</f>
        <v>1281.67</v>
      </c>
      <c r="AV119" s="5">
        <f t="shared" si="107"/>
        <v>-1281.67</v>
      </c>
      <c r="AW119" s="6">
        <f t="shared" si="108"/>
        <v>0</v>
      </c>
      <c r="AX119" s="5">
        <f t="shared" si="109"/>
        <v>0</v>
      </c>
      <c r="AY119" s="5">
        <f t="shared" si="110"/>
        <v>15380.04</v>
      </c>
      <c r="AZ119" s="5">
        <f t="shared" si="111"/>
        <v>-15380.04</v>
      </c>
      <c r="BA119" s="6">
        <f t="shared" si="112"/>
        <v>0</v>
      </c>
    </row>
    <row r="120" spans="1:53" x14ac:dyDescent="0.25">
      <c r="A120" s="3" t="s">
        <v>133</v>
      </c>
      <c r="B120" s="5">
        <f>397.14</f>
        <v>397.14</v>
      </c>
      <c r="C120" s="4"/>
      <c r="D120" s="5">
        <f t="shared" si="85"/>
        <v>397.14</v>
      </c>
      <c r="E120" s="6" t="str">
        <f t="shared" si="86"/>
        <v/>
      </c>
      <c r="F120" s="5">
        <f>287.41</f>
        <v>287.41000000000003</v>
      </c>
      <c r="G120" s="4"/>
      <c r="H120" s="5">
        <f t="shared" si="87"/>
        <v>287.41000000000003</v>
      </c>
      <c r="I120" s="6" t="str">
        <f t="shared" si="88"/>
        <v/>
      </c>
      <c r="J120" s="4"/>
      <c r="K120" s="4"/>
      <c r="L120" s="5">
        <f t="shared" si="89"/>
        <v>0</v>
      </c>
      <c r="M120" s="6" t="str">
        <f t="shared" si="90"/>
        <v/>
      </c>
      <c r="N120" s="4"/>
      <c r="O120" s="4"/>
      <c r="P120" s="5">
        <f t="shared" si="91"/>
        <v>0</v>
      </c>
      <c r="Q120" s="6" t="str">
        <f t="shared" si="92"/>
        <v/>
      </c>
      <c r="R120" s="4"/>
      <c r="S120" s="4"/>
      <c r="T120" s="5">
        <f t="shared" si="93"/>
        <v>0</v>
      </c>
      <c r="U120" s="6" t="str">
        <f t="shared" si="94"/>
        <v/>
      </c>
      <c r="V120" s="5">
        <f>1696.11</f>
        <v>1696.11</v>
      </c>
      <c r="W120" s="4"/>
      <c r="X120" s="5">
        <f t="shared" si="95"/>
        <v>1696.11</v>
      </c>
      <c r="Y120" s="6" t="str">
        <f t="shared" si="96"/>
        <v/>
      </c>
      <c r="Z120" s="4"/>
      <c r="AA120" s="4"/>
      <c r="AB120" s="5">
        <f t="shared" si="97"/>
        <v>0</v>
      </c>
      <c r="AC120" s="6" t="str">
        <f t="shared" si="98"/>
        <v/>
      </c>
      <c r="AD120" s="4"/>
      <c r="AE120" s="4"/>
      <c r="AF120" s="5">
        <f t="shared" si="99"/>
        <v>0</v>
      </c>
      <c r="AG120" s="6" t="str">
        <f t="shared" si="100"/>
        <v/>
      </c>
      <c r="AH120" s="4"/>
      <c r="AI120" s="4"/>
      <c r="AJ120" s="5">
        <f t="shared" si="101"/>
        <v>0</v>
      </c>
      <c r="AK120" s="6" t="str">
        <f t="shared" si="102"/>
        <v/>
      </c>
      <c r="AL120" s="4"/>
      <c r="AM120" s="4"/>
      <c r="AN120" s="5">
        <f t="shared" si="103"/>
        <v>0</v>
      </c>
      <c r="AO120" s="6" t="str">
        <f t="shared" si="104"/>
        <v/>
      </c>
      <c r="AP120" s="4"/>
      <c r="AQ120" s="4"/>
      <c r="AR120" s="5">
        <f t="shared" si="105"/>
        <v>0</v>
      </c>
      <c r="AS120" s="6" t="str">
        <f t="shared" si="106"/>
        <v/>
      </c>
      <c r="AT120" s="4"/>
      <c r="AU120" s="4"/>
      <c r="AV120" s="5">
        <f t="shared" si="107"/>
        <v>0</v>
      </c>
      <c r="AW120" s="6" t="str">
        <f t="shared" si="108"/>
        <v/>
      </c>
      <c r="AX120" s="5">
        <f t="shared" si="109"/>
        <v>2380.66</v>
      </c>
      <c r="AY120" s="5">
        <f t="shared" si="110"/>
        <v>0</v>
      </c>
      <c r="AZ120" s="5">
        <f t="shared" si="111"/>
        <v>2380.66</v>
      </c>
      <c r="BA120" s="6" t="str">
        <f t="shared" si="112"/>
        <v/>
      </c>
    </row>
    <row r="121" spans="1:53" x14ac:dyDescent="0.25">
      <c r="A121" s="3" t="s">
        <v>134</v>
      </c>
      <c r="B121" s="5">
        <f>213.85</f>
        <v>213.85</v>
      </c>
      <c r="C121" s="4"/>
      <c r="D121" s="5">
        <f t="shared" si="85"/>
        <v>213.85</v>
      </c>
      <c r="E121" s="6" t="str">
        <f t="shared" si="86"/>
        <v/>
      </c>
      <c r="F121" s="5">
        <f>154.76</f>
        <v>154.76</v>
      </c>
      <c r="G121" s="4"/>
      <c r="H121" s="5">
        <f t="shared" si="87"/>
        <v>154.76</v>
      </c>
      <c r="I121" s="6" t="str">
        <f t="shared" si="88"/>
        <v/>
      </c>
      <c r="J121" s="4"/>
      <c r="K121" s="4"/>
      <c r="L121" s="5">
        <f t="shared" si="89"/>
        <v>0</v>
      </c>
      <c r="M121" s="6" t="str">
        <f t="shared" si="90"/>
        <v/>
      </c>
      <c r="N121" s="4"/>
      <c r="O121" s="4"/>
      <c r="P121" s="5">
        <f t="shared" si="91"/>
        <v>0</v>
      </c>
      <c r="Q121" s="6" t="str">
        <f t="shared" si="92"/>
        <v/>
      </c>
      <c r="R121" s="4"/>
      <c r="S121" s="4"/>
      <c r="T121" s="5">
        <f t="shared" si="93"/>
        <v>0</v>
      </c>
      <c r="U121" s="6" t="str">
        <f t="shared" si="94"/>
        <v/>
      </c>
      <c r="V121" s="5">
        <f>913.29</f>
        <v>913.29</v>
      </c>
      <c r="W121" s="4"/>
      <c r="X121" s="5">
        <f t="shared" si="95"/>
        <v>913.29</v>
      </c>
      <c r="Y121" s="6" t="str">
        <f t="shared" si="96"/>
        <v/>
      </c>
      <c r="Z121" s="4"/>
      <c r="AA121" s="4"/>
      <c r="AB121" s="5">
        <f t="shared" si="97"/>
        <v>0</v>
      </c>
      <c r="AC121" s="6" t="str">
        <f t="shared" si="98"/>
        <v/>
      </c>
      <c r="AD121" s="4"/>
      <c r="AE121" s="4"/>
      <c r="AF121" s="5">
        <f t="shared" si="99"/>
        <v>0</v>
      </c>
      <c r="AG121" s="6" t="str">
        <f t="shared" si="100"/>
        <v/>
      </c>
      <c r="AH121" s="4"/>
      <c r="AI121" s="4"/>
      <c r="AJ121" s="5">
        <f t="shared" si="101"/>
        <v>0</v>
      </c>
      <c r="AK121" s="6" t="str">
        <f t="shared" si="102"/>
        <v/>
      </c>
      <c r="AL121" s="4"/>
      <c r="AM121" s="4"/>
      <c r="AN121" s="5">
        <f t="shared" si="103"/>
        <v>0</v>
      </c>
      <c r="AO121" s="6" t="str">
        <f t="shared" si="104"/>
        <v/>
      </c>
      <c r="AP121" s="4"/>
      <c r="AQ121" s="4"/>
      <c r="AR121" s="5">
        <f t="shared" si="105"/>
        <v>0</v>
      </c>
      <c r="AS121" s="6" t="str">
        <f t="shared" si="106"/>
        <v/>
      </c>
      <c r="AT121" s="4"/>
      <c r="AU121" s="4"/>
      <c r="AV121" s="5">
        <f t="shared" si="107"/>
        <v>0</v>
      </c>
      <c r="AW121" s="6" t="str">
        <f t="shared" si="108"/>
        <v/>
      </c>
      <c r="AX121" s="5">
        <f t="shared" si="109"/>
        <v>1281.9000000000001</v>
      </c>
      <c r="AY121" s="5">
        <f t="shared" si="110"/>
        <v>0</v>
      </c>
      <c r="AZ121" s="5">
        <f t="shared" si="111"/>
        <v>1281.9000000000001</v>
      </c>
      <c r="BA121" s="6" t="str">
        <f t="shared" si="112"/>
        <v/>
      </c>
    </row>
    <row r="122" spans="1:53" x14ac:dyDescent="0.25">
      <c r="A122" s="3" t="s">
        <v>135</v>
      </c>
      <c r="B122" s="5">
        <f>0</f>
        <v>0</v>
      </c>
      <c r="C122" s="4"/>
      <c r="D122" s="5">
        <f t="shared" si="85"/>
        <v>0</v>
      </c>
      <c r="E122" s="6" t="str">
        <f t="shared" si="86"/>
        <v/>
      </c>
      <c r="F122" s="5">
        <f>0</f>
        <v>0</v>
      </c>
      <c r="G122" s="4"/>
      <c r="H122" s="5">
        <f t="shared" si="87"/>
        <v>0</v>
      </c>
      <c r="I122" s="6" t="str">
        <f t="shared" si="88"/>
        <v/>
      </c>
      <c r="J122" s="4"/>
      <c r="K122" s="4"/>
      <c r="L122" s="5">
        <f t="shared" si="89"/>
        <v>0</v>
      </c>
      <c r="M122" s="6" t="str">
        <f t="shared" si="90"/>
        <v/>
      </c>
      <c r="N122" s="4"/>
      <c r="O122" s="4"/>
      <c r="P122" s="5">
        <f t="shared" si="91"/>
        <v>0</v>
      </c>
      <c r="Q122" s="6" t="str">
        <f t="shared" si="92"/>
        <v/>
      </c>
      <c r="R122" s="4"/>
      <c r="S122" s="4"/>
      <c r="T122" s="5">
        <f t="shared" si="93"/>
        <v>0</v>
      </c>
      <c r="U122" s="6" t="str">
        <f t="shared" si="94"/>
        <v/>
      </c>
      <c r="V122" s="5">
        <f>0</f>
        <v>0</v>
      </c>
      <c r="W122" s="4"/>
      <c r="X122" s="5">
        <f t="shared" si="95"/>
        <v>0</v>
      </c>
      <c r="Y122" s="6" t="str">
        <f t="shared" si="96"/>
        <v/>
      </c>
      <c r="Z122" s="4"/>
      <c r="AA122" s="4"/>
      <c r="AB122" s="5">
        <f t="shared" si="97"/>
        <v>0</v>
      </c>
      <c r="AC122" s="6" t="str">
        <f t="shared" si="98"/>
        <v/>
      </c>
      <c r="AD122" s="4"/>
      <c r="AE122" s="4"/>
      <c r="AF122" s="5">
        <f t="shared" si="99"/>
        <v>0</v>
      </c>
      <c r="AG122" s="6" t="str">
        <f t="shared" si="100"/>
        <v/>
      </c>
      <c r="AH122" s="4"/>
      <c r="AI122" s="4"/>
      <c r="AJ122" s="5">
        <f t="shared" si="101"/>
        <v>0</v>
      </c>
      <c r="AK122" s="6" t="str">
        <f t="shared" si="102"/>
        <v/>
      </c>
      <c r="AL122" s="4"/>
      <c r="AM122" s="4"/>
      <c r="AN122" s="5">
        <f t="shared" si="103"/>
        <v>0</v>
      </c>
      <c r="AO122" s="6" t="str">
        <f t="shared" si="104"/>
        <v/>
      </c>
      <c r="AP122" s="4"/>
      <c r="AQ122" s="4"/>
      <c r="AR122" s="5">
        <f t="shared" si="105"/>
        <v>0</v>
      </c>
      <c r="AS122" s="6" t="str">
        <f t="shared" si="106"/>
        <v/>
      </c>
      <c r="AT122" s="4"/>
      <c r="AU122" s="4"/>
      <c r="AV122" s="5">
        <f t="shared" si="107"/>
        <v>0</v>
      </c>
      <c r="AW122" s="6" t="str">
        <f t="shared" si="108"/>
        <v/>
      </c>
      <c r="AX122" s="5">
        <f t="shared" si="109"/>
        <v>0</v>
      </c>
      <c r="AY122" s="5">
        <f t="shared" si="110"/>
        <v>0</v>
      </c>
      <c r="AZ122" s="5">
        <f t="shared" si="111"/>
        <v>0</v>
      </c>
      <c r="BA122" s="6" t="str">
        <f t="shared" si="112"/>
        <v/>
      </c>
    </row>
    <row r="123" spans="1:53" x14ac:dyDescent="0.25">
      <c r="A123" s="3" t="s">
        <v>136</v>
      </c>
      <c r="B123" s="7">
        <f>(((B119)+(B120))+(B121))+(B122)</f>
        <v>610.99</v>
      </c>
      <c r="C123" s="7">
        <f>(((C119)+(C120))+(C121))+(C122)</f>
        <v>1281.67</v>
      </c>
      <c r="D123" s="7">
        <f t="shared" si="85"/>
        <v>-670.68000000000006</v>
      </c>
      <c r="E123" s="8">
        <f t="shared" si="86"/>
        <v>0.47671397473608651</v>
      </c>
      <c r="F123" s="7">
        <f>(((F119)+(F120))+(F121))+(F122)</f>
        <v>442.17</v>
      </c>
      <c r="G123" s="7">
        <f>(((G119)+(G120))+(G121))+(G122)</f>
        <v>1281.67</v>
      </c>
      <c r="H123" s="7">
        <f t="shared" si="87"/>
        <v>-839.5</v>
      </c>
      <c r="I123" s="8">
        <f t="shared" si="88"/>
        <v>0.34499520157294777</v>
      </c>
      <c r="J123" s="7">
        <f>(((J119)+(J120))+(J121))+(J122)</f>
        <v>0</v>
      </c>
      <c r="K123" s="7">
        <f>(((K119)+(K120))+(K121))+(K122)</f>
        <v>1281.67</v>
      </c>
      <c r="L123" s="7">
        <f t="shared" si="89"/>
        <v>-1281.67</v>
      </c>
      <c r="M123" s="8">
        <f t="shared" si="90"/>
        <v>0</v>
      </c>
      <c r="N123" s="7">
        <f>(((N119)+(N120))+(N121))+(N122)</f>
        <v>0</v>
      </c>
      <c r="O123" s="7">
        <f>(((O119)+(O120))+(O121))+(O122)</f>
        <v>1281.67</v>
      </c>
      <c r="P123" s="7">
        <f t="shared" si="91"/>
        <v>-1281.67</v>
      </c>
      <c r="Q123" s="8">
        <f t="shared" si="92"/>
        <v>0</v>
      </c>
      <c r="R123" s="7">
        <f>(((R119)+(R120))+(R121))+(R122)</f>
        <v>0</v>
      </c>
      <c r="S123" s="7">
        <f>(((S119)+(S120))+(S121))+(S122)</f>
        <v>1281.67</v>
      </c>
      <c r="T123" s="7">
        <f t="shared" si="93"/>
        <v>-1281.67</v>
      </c>
      <c r="U123" s="8">
        <f t="shared" si="94"/>
        <v>0</v>
      </c>
      <c r="V123" s="7">
        <f>(((V119)+(V120))+(V121))+(V122)</f>
        <v>2609.3999999999996</v>
      </c>
      <c r="W123" s="7">
        <f>(((W119)+(W120))+(W121))+(W122)</f>
        <v>1281.67</v>
      </c>
      <c r="X123" s="7">
        <f t="shared" si="95"/>
        <v>1327.7299999999996</v>
      </c>
      <c r="Y123" s="8">
        <f t="shared" si="96"/>
        <v>2.0359374878088738</v>
      </c>
      <c r="Z123" s="7">
        <f>(((Z119)+(Z120))+(Z121))+(Z122)</f>
        <v>0</v>
      </c>
      <c r="AA123" s="7">
        <f>(((AA119)+(AA120))+(AA121))+(AA122)</f>
        <v>1281.67</v>
      </c>
      <c r="AB123" s="7">
        <f t="shared" si="97"/>
        <v>-1281.67</v>
      </c>
      <c r="AC123" s="8">
        <f t="shared" si="98"/>
        <v>0</v>
      </c>
      <c r="AD123" s="7">
        <f>(((AD119)+(AD120))+(AD121))+(AD122)</f>
        <v>0</v>
      </c>
      <c r="AE123" s="7">
        <f>(((AE119)+(AE120))+(AE121))+(AE122)</f>
        <v>1281.67</v>
      </c>
      <c r="AF123" s="7">
        <f t="shared" si="99"/>
        <v>-1281.67</v>
      </c>
      <c r="AG123" s="8">
        <f t="shared" si="100"/>
        <v>0</v>
      </c>
      <c r="AH123" s="7">
        <f>(((AH119)+(AH120))+(AH121))+(AH122)</f>
        <v>0</v>
      </c>
      <c r="AI123" s="7">
        <f>(((AI119)+(AI120))+(AI121))+(AI122)</f>
        <v>1281.67</v>
      </c>
      <c r="AJ123" s="7">
        <f t="shared" si="101"/>
        <v>-1281.67</v>
      </c>
      <c r="AK123" s="8">
        <f t="shared" si="102"/>
        <v>0</v>
      </c>
      <c r="AL123" s="7">
        <f>(((AL119)+(AL120))+(AL121))+(AL122)</f>
        <v>0</v>
      </c>
      <c r="AM123" s="7">
        <f>(((AM119)+(AM120))+(AM121))+(AM122)</f>
        <v>1281.67</v>
      </c>
      <c r="AN123" s="7">
        <f t="shared" si="103"/>
        <v>-1281.67</v>
      </c>
      <c r="AO123" s="8">
        <f t="shared" si="104"/>
        <v>0</v>
      </c>
      <c r="AP123" s="7">
        <f>(((AP119)+(AP120))+(AP121))+(AP122)</f>
        <v>0</v>
      </c>
      <c r="AQ123" s="7">
        <f>(((AQ119)+(AQ120))+(AQ121))+(AQ122)</f>
        <v>1281.67</v>
      </c>
      <c r="AR123" s="7">
        <f t="shared" si="105"/>
        <v>-1281.67</v>
      </c>
      <c r="AS123" s="8">
        <f t="shared" si="106"/>
        <v>0</v>
      </c>
      <c r="AT123" s="7">
        <f>(((AT119)+(AT120))+(AT121))+(AT122)</f>
        <v>0</v>
      </c>
      <c r="AU123" s="7">
        <f>(((AU119)+(AU120))+(AU121))+(AU122)</f>
        <v>1281.67</v>
      </c>
      <c r="AV123" s="7">
        <f t="shared" si="107"/>
        <v>-1281.67</v>
      </c>
      <c r="AW123" s="8">
        <f t="shared" si="108"/>
        <v>0</v>
      </c>
      <c r="AX123" s="7">
        <f t="shared" si="109"/>
        <v>3662.5599999999995</v>
      </c>
      <c r="AY123" s="7">
        <f t="shared" si="110"/>
        <v>15380.04</v>
      </c>
      <c r="AZ123" s="7">
        <f t="shared" si="111"/>
        <v>-11717.480000000001</v>
      </c>
      <c r="BA123" s="8">
        <f t="shared" si="112"/>
        <v>0.23813722200982568</v>
      </c>
    </row>
    <row r="124" spans="1:53" x14ac:dyDescent="0.25">
      <c r="A124" s="3" t="s">
        <v>137</v>
      </c>
      <c r="B124" s="4"/>
      <c r="C124" s="5">
        <f>2083.33</f>
        <v>2083.33</v>
      </c>
      <c r="D124" s="5">
        <f t="shared" si="85"/>
        <v>-2083.33</v>
      </c>
      <c r="E124" s="6">
        <f t="shared" si="86"/>
        <v>0</v>
      </c>
      <c r="F124" s="4"/>
      <c r="G124" s="5">
        <f>2083.33</f>
        <v>2083.33</v>
      </c>
      <c r="H124" s="5">
        <f t="shared" si="87"/>
        <v>-2083.33</v>
      </c>
      <c r="I124" s="6">
        <f t="shared" si="88"/>
        <v>0</v>
      </c>
      <c r="J124" s="4"/>
      <c r="K124" s="5">
        <f>2083.33</f>
        <v>2083.33</v>
      </c>
      <c r="L124" s="5">
        <f t="shared" si="89"/>
        <v>-2083.33</v>
      </c>
      <c r="M124" s="6">
        <f t="shared" si="90"/>
        <v>0</v>
      </c>
      <c r="N124" s="4"/>
      <c r="O124" s="5">
        <f>2083.33</f>
        <v>2083.33</v>
      </c>
      <c r="P124" s="5">
        <f t="shared" si="91"/>
        <v>-2083.33</v>
      </c>
      <c r="Q124" s="6">
        <f t="shared" si="92"/>
        <v>0</v>
      </c>
      <c r="R124" s="4"/>
      <c r="S124" s="5">
        <f>2083.33</f>
        <v>2083.33</v>
      </c>
      <c r="T124" s="5">
        <f t="shared" si="93"/>
        <v>-2083.33</v>
      </c>
      <c r="U124" s="6">
        <f t="shared" si="94"/>
        <v>0</v>
      </c>
      <c r="V124" s="4"/>
      <c r="W124" s="5">
        <f>2083.33</f>
        <v>2083.33</v>
      </c>
      <c r="X124" s="5">
        <f t="shared" si="95"/>
        <v>-2083.33</v>
      </c>
      <c r="Y124" s="6">
        <f t="shared" si="96"/>
        <v>0</v>
      </c>
      <c r="Z124" s="4"/>
      <c r="AA124" s="5">
        <f>2083.33</f>
        <v>2083.33</v>
      </c>
      <c r="AB124" s="5">
        <f t="shared" si="97"/>
        <v>-2083.33</v>
      </c>
      <c r="AC124" s="6">
        <f t="shared" si="98"/>
        <v>0</v>
      </c>
      <c r="AD124" s="4"/>
      <c r="AE124" s="5">
        <f>2083.33</f>
        <v>2083.33</v>
      </c>
      <c r="AF124" s="5">
        <f t="shared" si="99"/>
        <v>-2083.33</v>
      </c>
      <c r="AG124" s="6">
        <f t="shared" si="100"/>
        <v>0</v>
      </c>
      <c r="AH124" s="4"/>
      <c r="AI124" s="5">
        <f>2083.33</f>
        <v>2083.33</v>
      </c>
      <c r="AJ124" s="5">
        <f t="shared" si="101"/>
        <v>-2083.33</v>
      </c>
      <c r="AK124" s="6">
        <f t="shared" si="102"/>
        <v>0</v>
      </c>
      <c r="AL124" s="4"/>
      <c r="AM124" s="5">
        <f>2083.33</f>
        <v>2083.33</v>
      </c>
      <c r="AN124" s="5">
        <f t="shared" si="103"/>
        <v>-2083.33</v>
      </c>
      <c r="AO124" s="6">
        <f t="shared" si="104"/>
        <v>0</v>
      </c>
      <c r="AP124" s="4"/>
      <c r="AQ124" s="5">
        <f>2083.33</f>
        <v>2083.33</v>
      </c>
      <c r="AR124" s="5">
        <f t="shared" si="105"/>
        <v>-2083.33</v>
      </c>
      <c r="AS124" s="6">
        <f t="shared" si="106"/>
        <v>0</v>
      </c>
      <c r="AT124" s="4"/>
      <c r="AU124" s="5">
        <f>2083.33</f>
        <v>2083.33</v>
      </c>
      <c r="AV124" s="5">
        <f t="shared" si="107"/>
        <v>-2083.33</v>
      </c>
      <c r="AW124" s="6">
        <f t="shared" si="108"/>
        <v>0</v>
      </c>
      <c r="AX124" s="5">
        <f t="shared" si="109"/>
        <v>0</v>
      </c>
      <c r="AY124" s="5">
        <f t="shared" si="110"/>
        <v>24999.960000000006</v>
      </c>
      <c r="AZ124" s="5">
        <f t="shared" si="111"/>
        <v>-24999.960000000006</v>
      </c>
      <c r="BA124" s="6">
        <f t="shared" si="112"/>
        <v>0</v>
      </c>
    </row>
    <row r="125" spans="1:53" x14ac:dyDescent="0.25">
      <c r="A125" s="3" t="s">
        <v>138</v>
      </c>
      <c r="B125" s="5">
        <f>741</f>
        <v>741</v>
      </c>
      <c r="C125" s="4"/>
      <c r="D125" s="5">
        <f t="shared" si="85"/>
        <v>741</v>
      </c>
      <c r="E125" s="6" t="str">
        <f t="shared" si="86"/>
        <v/>
      </c>
      <c r="F125" s="4"/>
      <c r="G125" s="4"/>
      <c r="H125" s="5">
        <f t="shared" si="87"/>
        <v>0</v>
      </c>
      <c r="I125" s="6" t="str">
        <f t="shared" si="88"/>
        <v/>
      </c>
      <c r="J125" s="4"/>
      <c r="K125" s="4"/>
      <c r="L125" s="5">
        <f t="shared" si="89"/>
        <v>0</v>
      </c>
      <c r="M125" s="6" t="str">
        <f t="shared" si="90"/>
        <v/>
      </c>
      <c r="N125" s="4"/>
      <c r="O125" s="4"/>
      <c r="P125" s="5">
        <f t="shared" si="91"/>
        <v>0</v>
      </c>
      <c r="Q125" s="6" t="str">
        <f t="shared" si="92"/>
        <v/>
      </c>
      <c r="R125" s="5">
        <f>257.84</f>
        <v>257.83999999999997</v>
      </c>
      <c r="S125" s="4"/>
      <c r="T125" s="5">
        <f t="shared" si="93"/>
        <v>257.83999999999997</v>
      </c>
      <c r="U125" s="6" t="str">
        <f t="shared" si="94"/>
        <v/>
      </c>
      <c r="V125" s="4"/>
      <c r="W125" s="4"/>
      <c r="X125" s="5">
        <f t="shared" si="95"/>
        <v>0</v>
      </c>
      <c r="Y125" s="6" t="str">
        <f t="shared" si="96"/>
        <v/>
      </c>
      <c r="Z125" s="4"/>
      <c r="AA125" s="4"/>
      <c r="AB125" s="5">
        <f t="shared" si="97"/>
        <v>0</v>
      </c>
      <c r="AC125" s="6" t="str">
        <f t="shared" si="98"/>
        <v/>
      </c>
      <c r="AD125" s="4"/>
      <c r="AE125" s="4"/>
      <c r="AF125" s="5">
        <f t="shared" si="99"/>
        <v>0</v>
      </c>
      <c r="AG125" s="6" t="str">
        <f t="shared" si="100"/>
        <v/>
      </c>
      <c r="AH125" s="4"/>
      <c r="AI125" s="4"/>
      <c r="AJ125" s="5">
        <f t="shared" si="101"/>
        <v>0</v>
      </c>
      <c r="AK125" s="6" t="str">
        <f t="shared" si="102"/>
        <v/>
      </c>
      <c r="AL125" s="4"/>
      <c r="AM125" s="4"/>
      <c r="AN125" s="5">
        <f t="shared" si="103"/>
        <v>0</v>
      </c>
      <c r="AO125" s="6" t="str">
        <f t="shared" si="104"/>
        <v/>
      </c>
      <c r="AP125" s="4"/>
      <c r="AQ125" s="4"/>
      <c r="AR125" s="5">
        <f t="shared" si="105"/>
        <v>0</v>
      </c>
      <c r="AS125" s="6" t="str">
        <f t="shared" si="106"/>
        <v/>
      </c>
      <c r="AT125" s="4"/>
      <c r="AU125" s="4"/>
      <c r="AV125" s="5">
        <f t="shared" si="107"/>
        <v>0</v>
      </c>
      <c r="AW125" s="6" t="str">
        <f t="shared" si="108"/>
        <v/>
      </c>
      <c r="AX125" s="5">
        <f t="shared" si="109"/>
        <v>998.83999999999992</v>
      </c>
      <c r="AY125" s="5">
        <f t="shared" si="110"/>
        <v>0</v>
      </c>
      <c r="AZ125" s="5">
        <f t="shared" si="111"/>
        <v>998.83999999999992</v>
      </c>
      <c r="BA125" s="6" t="str">
        <f t="shared" si="112"/>
        <v/>
      </c>
    </row>
    <row r="126" spans="1:53" x14ac:dyDescent="0.25">
      <c r="A126" s="3" t="s">
        <v>139</v>
      </c>
      <c r="B126" s="5">
        <f>399</f>
        <v>399</v>
      </c>
      <c r="C126" s="4"/>
      <c r="D126" s="5">
        <f t="shared" si="85"/>
        <v>399</v>
      </c>
      <c r="E126" s="6" t="str">
        <f t="shared" si="86"/>
        <v/>
      </c>
      <c r="F126" s="4"/>
      <c r="G126" s="4"/>
      <c r="H126" s="5">
        <f t="shared" si="87"/>
        <v>0</v>
      </c>
      <c r="I126" s="6" t="str">
        <f t="shared" si="88"/>
        <v/>
      </c>
      <c r="J126" s="4"/>
      <c r="K126" s="4"/>
      <c r="L126" s="5">
        <f t="shared" si="89"/>
        <v>0</v>
      </c>
      <c r="M126" s="6" t="str">
        <f t="shared" si="90"/>
        <v/>
      </c>
      <c r="N126" s="4"/>
      <c r="O126" s="4"/>
      <c r="P126" s="5">
        <f t="shared" si="91"/>
        <v>0</v>
      </c>
      <c r="Q126" s="6" t="str">
        <f t="shared" si="92"/>
        <v/>
      </c>
      <c r="R126" s="5">
        <f>138.83</f>
        <v>138.83000000000001</v>
      </c>
      <c r="S126" s="4"/>
      <c r="T126" s="5">
        <f t="shared" si="93"/>
        <v>138.83000000000001</v>
      </c>
      <c r="U126" s="6" t="str">
        <f t="shared" si="94"/>
        <v/>
      </c>
      <c r="V126" s="4"/>
      <c r="W126" s="4"/>
      <c r="X126" s="5">
        <f t="shared" si="95"/>
        <v>0</v>
      </c>
      <c r="Y126" s="6" t="str">
        <f t="shared" si="96"/>
        <v/>
      </c>
      <c r="Z126" s="4"/>
      <c r="AA126" s="4"/>
      <c r="AB126" s="5">
        <f t="shared" si="97"/>
        <v>0</v>
      </c>
      <c r="AC126" s="6" t="str">
        <f t="shared" si="98"/>
        <v/>
      </c>
      <c r="AD126" s="4"/>
      <c r="AE126" s="4"/>
      <c r="AF126" s="5">
        <f t="shared" si="99"/>
        <v>0</v>
      </c>
      <c r="AG126" s="6" t="str">
        <f t="shared" si="100"/>
        <v/>
      </c>
      <c r="AH126" s="4"/>
      <c r="AI126" s="4"/>
      <c r="AJ126" s="5">
        <f t="shared" si="101"/>
        <v>0</v>
      </c>
      <c r="AK126" s="6" t="str">
        <f t="shared" si="102"/>
        <v/>
      </c>
      <c r="AL126" s="4"/>
      <c r="AM126" s="4"/>
      <c r="AN126" s="5">
        <f t="shared" si="103"/>
        <v>0</v>
      </c>
      <c r="AO126" s="6" t="str">
        <f t="shared" si="104"/>
        <v/>
      </c>
      <c r="AP126" s="4"/>
      <c r="AQ126" s="4"/>
      <c r="AR126" s="5">
        <f t="shared" si="105"/>
        <v>0</v>
      </c>
      <c r="AS126" s="6" t="str">
        <f t="shared" si="106"/>
        <v/>
      </c>
      <c r="AT126" s="4"/>
      <c r="AU126" s="4"/>
      <c r="AV126" s="5">
        <f t="shared" si="107"/>
        <v>0</v>
      </c>
      <c r="AW126" s="6" t="str">
        <f t="shared" si="108"/>
        <v/>
      </c>
      <c r="AX126" s="5">
        <f t="shared" si="109"/>
        <v>537.83000000000004</v>
      </c>
      <c r="AY126" s="5">
        <f t="shared" si="110"/>
        <v>0</v>
      </c>
      <c r="AZ126" s="5">
        <f t="shared" si="111"/>
        <v>537.83000000000004</v>
      </c>
      <c r="BA126" s="6" t="str">
        <f t="shared" si="112"/>
        <v/>
      </c>
    </row>
    <row r="127" spans="1:53" x14ac:dyDescent="0.25">
      <c r="A127" s="3" t="s">
        <v>140</v>
      </c>
      <c r="B127" s="5">
        <f>0</f>
        <v>0</v>
      </c>
      <c r="C127" s="4"/>
      <c r="D127" s="5">
        <f t="shared" si="85"/>
        <v>0</v>
      </c>
      <c r="E127" s="6" t="str">
        <f t="shared" si="86"/>
        <v/>
      </c>
      <c r="F127" s="4"/>
      <c r="G127" s="4"/>
      <c r="H127" s="5">
        <f t="shared" si="87"/>
        <v>0</v>
      </c>
      <c r="I127" s="6" t="str">
        <f t="shared" si="88"/>
        <v/>
      </c>
      <c r="J127" s="4"/>
      <c r="K127" s="4"/>
      <c r="L127" s="5">
        <f t="shared" si="89"/>
        <v>0</v>
      </c>
      <c r="M127" s="6" t="str">
        <f t="shared" si="90"/>
        <v/>
      </c>
      <c r="N127" s="4"/>
      <c r="O127" s="4"/>
      <c r="P127" s="5">
        <f t="shared" si="91"/>
        <v>0</v>
      </c>
      <c r="Q127" s="6" t="str">
        <f t="shared" si="92"/>
        <v/>
      </c>
      <c r="R127" s="5">
        <f>0</f>
        <v>0</v>
      </c>
      <c r="S127" s="4"/>
      <c r="T127" s="5">
        <f t="shared" si="93"/>
        <v>0</v>
      </c>
      <c r="U127" s="6" t="str">
        <f t="shared" si="94"/>
        <v/>
      </c>
      <c r="V127" s="4"/>
      <c r="W127" s="4"/>
      <c r="X127" s="5">
        <f t="shared" si="95"/>
        <v>0</v>
      </c>
      <c r="Y127" s="6" t="str">
        <f t="shared" si="96"/>
        <v/>
      </c>
      <c r="Z127" s="4"/>
      <c r="AA127" s="4"/>
      <c r="AB127" s="5">
        <f t="shared" si="97"/>
        <v>0</v>
      </c>
      <c r="AC127" s="6" t="str">
        <f t="shared" si="98"/>
        <v/>
      </c>
      <c r="AD127" s="4"/>
      <c r="AE127" s="4"/>
      <c r="AF127" s="5">
        <f t="shared" si="99"/>
        <v>0</v>
      </c>
      <c r="AG127" s="6" t="str">
        <f t="shared" si="100"/>
        <v/>
      </c>
      <c r="AH127" s="4"/>
      <c r="AI127" s="4"/>
      <c r="AJ127" s="5">
        <f t="shared" si="101"/>
        <v>0</v>
      </c>
      <c r="AK127" s="6" t="str">
        <f t="shared" si="102"/>
        <v/>
      </c>
      <c r="AL127" s="4"/>
      <c r="AM127" s="4"/>
      <c r="AN127" s="5">
        <f t="shared" si="103"/>
        <v>0</v>
      </c>
      <c r="AO127" s="6" t="str">
        <f t="shared" si="104"/>
        <v/>
      </c>
      <c r="AP127" s="4"/>
      <c r="AQ127" s="4"/>
      <c r="AR127" s="5">
        <f t="shared" si="105"/>
        <v>0</v>
      </c>
      <c r="AS127" s="6" t="str">
        <f t="shared" si="106"/>
        <v/>
      </c>
      <c r="AT127" s="4"/>
      <c r="AU127" s="4"/>
      <c r="AV127" s="5">
        <f t="shared" si="107"/>
        <v>0</v>
      </c>
      <c r="AW127" s="6" t="str">
        <f t="shared" si="108"/>
        <v/>
      </c>
      <c r="AX127" s="5">
        <f t="shared" si="109"/>
        <v>0</v>
      </c>
      <c r="AY127" s="5">
        <f t="shared" si="110"/>
        <v>0</v>
      </c>
      <c r="AZ127" s="5">
        <f t="shared" si="111"/>
        <v>0</v>
      </c>
      <c r="BA127" s="6" t="str">
        <f t="shared" si="112"/>
        <v/>
      </c>
    </row>
    <row r="128" spans="1:53" x14ac:dyDescent="0.25">
      <c r="A128" s="3" t="s">
        <v>141</v>
      </c>
      <c r="B128" s="7">
        <f>(((B124)+(B125))+(B126))+(B127)</f>
        <v>1140</v>
      </c>
      <c r="C128" s="7">
        <f>(((C124)+(C125))+(C126))+(C127)</f>
        <v>2083.33</v>
      </c>
      <c r="D128" s="7">
        <f t="shared" si="85"/>
        <v>-943.32999999999993</v>
      </c>
      <c r="E128" s="8">
        <f t="shared" si="86"/>
        <v>0.54720087552140084</v>
      </c>
      <c r="F128" s="7">
        <f>(((F124)+(F125))+(F126))+(F127)</f>
        <v>0</v>
      </c>
      <c r="G128" s="7">
        <f>(((G124)+(G125))+(G126))+(G127)</f>
        <v>2083.33</v>
      </c>
      <c r="H128" s="7">
        <f t="shared" si="87"/>
        <v>-2083.33</v>
      </c>
      <c r="I128" s="8">
        <f t="shared" si="88"/>
        <v>0</v>
      </c>
      <c r="J128" s="7">
        <f>(((J124)+(J125))+(J126))+(J127)</f>
        <v>0</v>
      </c>
      <c r="K128" s="7">
        <f>(((K124)+(K125))+(K126))+(K127)</f>
        <v>2083.33</v>
      </c>
      <c r="L128" s="7">
        <f t="shared" si="89"/>
        <v>-2083.33</v>
      </c>
      <c r="M128" s="8">
        <f t="shared" si="90"/>
        <v>0</v>
      </c>
      <c r="N128" s="7">
        <f>(((N124)+(N125))+(N126))+(N127)</f>
        <v>0</v>
      </c>
      <c r="O128" s="7">
        <f>(((O124)+(O125))+(O126))+(O127)</f>
        <v>2083.33</v>
      </c>
      <c r="P128" s="7">
        <f t="shared" si="91"/>
        <v>-2083.33</v>
      </c>
      <c r="Q128" s="8">
        <f t="shared" si="92"/>
        <v>0</v>
      </c>
      <c r="R128" s="7">
        <f>(((R124)+(R125))+(R126))+(R127)</f>
        <v>396.66999999999996</v>
      </c>
      <c r="S128" s="7">
        <f>(((S124)+(S125))+(S126))+(S127)</f>
        <v>2083.33</v>
      </c>
      <c r="T128" s="7">
        <f t="shared" si="93"/>
        <v>-1686.6599999999999</v>
      </c>
      <c r="U128" s="8">
        <f t="shared" si="94"/>
        <v>0.1904019046430474</v>
      </c>
      <c r="V128" s="7">
        <f>(((V124)+(V125))+(V126))+(V127)</f>
        <v>0</v>
      </c>
      <c r="W128" s="7">
        <f>(((W124)+(W125))+(W126))+(W127)</f>
        <v>2083.33</v>
      </c>
      <c r="X128" s="7">
        <f t="shared" si="95"/>
        <v>-2083.33</v>
      </c>
      <c r="Y128" s="8">
        <f t="shared" si="96"/>
        <v>0</v>
      </c>
      <c r="Z128" s="7">
        <f>(((Z124)+(Z125))+(Z126))+(Z127)</f>
        <v>0</v>
      </c>
      <c r="AA128" s="7">
        <f>(((AA124)+(AA125))+(AA126))+(AA127)</f>
        <v>2083.33</v>
      </c>
      <c r="AB128" s="7">
        <f t="shared" si="97"/>
        <v>-2083.33</v>
      </c>
      <c r="AC128" s="8">
        <f t="shared" si="98"/>
        <v>0</v>
      </c>
      <c r="AD128" s="7">
        <f>(((AD124)+(AD125))+(AD126))+(AD127)</f>
        <v>0</v>
      </c>
      <c r="AE128" s="7">
        <f>(((AE124)+(AE125))+(AE126))+(AE127)</f>
        <v>2083.33</v>
      </c>
      <c r="AF128" s="7">
        <f t="shared" si="99"/>
        <v>-2083.33</v>
      </c>
      <c r="AG128" s="8">
        <f t="shared" si="100"/>
        <v>0</v>
      </c>
      <c r="AH128" s="7">
        <f>(((AH124)+(AH125))+(AH126))+(AH127)</f>
        <v>0</v>
      </c>
      <c r="AI128" s="7">
        <f>(((AI124)+(AI125))+(AI126))+(AI127)</f>
        <v>2083.33</v>
      </c>
      <c r="AJ128" s="7">
        <f t="shared" si="101"/>
        <v>-2083.33</v>
      </c>
      <c r="AK128" s="8">
        <f t="shared" si="102"/>
        <v>0</v>
      </c>
      <c r="AL128" s="7">
        <f>(((AL124)+(AL125))+(AL126))+(AL127)</f>
        <v>0</v>
      </c>
      <c r="AM128" s="7">
        <f>(((AM124)+(AM125))+(AM126))+(AM127)</f>
        <v>2083.33</v>
      </c>
      <c r="AN128" s="7">
        <f t="shared" si="103"/>
        <v>-2083.33</v>
      </c>
      <c r="AO128" s="8">
        <f t="shared" si="104"/>
        <v>0</v>
      </c>
      <c r="AP128" s="7">
        <f>(((AP124)+(AP125))+(AP126))+(AP127)</f>
        <v>0</v>
      </c>
      <c r="AQ128" s="7">
        <f>(((AQ124)+(AQ125))+(AQ126))+(AQ127)</f>
        <v>2083.33</v>
      </c>
      <c r="AR128" s="7">
        <f t="shared" si="105"/>
        <v>-2083.33</v>
      </c>
      <c r="AS128" s="8">
        <f t="shared" si="106"/>
        <v>0</v>
      </c>
      <c r="AT128" s="7">
        <f>(((AT124)+(AT125))+(AT126))+(AT127)</f>
        <v>0</v>
      </c>
      <c r="AU128" s="7">
        <f>(((AU124)+(AU125))+(AU126))+(AU127)</f>
        <v>2083.33</v>
      </c>
      <c r="AV128" s="7">
        <f t="shared" si="107"/>
        <v>-2083.33</v>
      </c>
      <c r="AW128" s="8">
        <f t="shared" si="108"/>
        <v>0</v>
      </c>
      <c r="AX128" s="7">
        <f t="shared" si="109"/>
        <v>1536.67</v>
      </c>
      <c r="AY128" s="7">
        <f t="shared" si="110"/>
        <v>24999.960000000006</v>
      </c>
      <c r="AZ128" s="7">
        <f t="shared" si="111"/>
        <v>-23463.290000000008</v>
      </c>
      <c r="BA128" s="8">
        <f t="shared" si="112"/>
        <v>6.1466898347037342E-2</v>
      </c>
    </row>
    <row r="129" spans="1:53" x14ac:dyDescent="0.25">
      <c r="A129" s="3" t="s">
        <v>142</v>
      </c>
      <c r="B129" s="4"/>
      <c r="C129" s="5">
        <f>141.65</f>
        <v>141.65</v>
      </c>
      <c r="D129" s="5">
        <f t="shared" si="85"/>
        <v>-141.65</v>
      </c>
      <c r="E129" s="6">
        <f t="shared" si="86"/>
        <v>0</v>
      </c>
      <c r="F129" s="4"/>
      <c r="G129" s="5">
        <f>141.65</f>
        <v>141.65</v>
      </c>
      <c r="H129" s="5">
        <f t="shared" si="87"/>
        <v>-141.65</v>
      </c>
      <c r="I129" s="6">
        <f t="shared" si="88"/>
        <v>0</v>
      </c>
      <c r="J129" s="4"/>
      <c r="K129" s="5">
        <f>141.65</f>
        <v>141.65</v>
      </c>
      <c r="L129" s="5">
        <f t="shared" si="89"/>
        <v>-141.65</v>
      </c>
      <c r="M129" s="6">
        <f t="shared" si="90"/>
        <v>0</v>
      </c>
      <c r="N129" s="4"/>
      <c r="O129" s="5">
        <f>141.65</f>
        <v>141.65</v>
      </c>
      <c r="P129" s="5">
        <f t="shared" si="91"/>
        <v>-141.65</v>
      </c>
      <c r="Q129" s="6">
        <f t="shared" si="92"/>
        <v>0</v>
      </c>
      <c r="R129" s="4"/>
      <c r="S129" s="5">
        <f>141.65</f>
        <v>141.65</v>
      </c>
      <c r="T129" s="5">
        <f t="shared" si="93"/>
        <v>-141.65</v>
      </c>
      <c r="U129" s="6">
        <f t="shared" si="94"/>
        <v>0</v>
      </c>
      <c r="V129" s="4"/>
      <c r="W129" s="5">
        <f>141.65</f>
        <v>141.65</v>
      </c>
      <c r="X129" s="5">
        <f t="shared" si="95"/>
        <v>-141.65</v>
      </c>
      <c r="Y129" s="6">
        <f t="shared" si="96"/>
        <v>0</v>
      </c>
      <c r="Z129" s="4"/>
      <c r="AA129" s="5">
        <f>141.65</f>
        <v>141.65</v>
      </c>
      <c r="AB129" s="5">
        <f t="shared" si="97"/>
        <v>-141.65</v>
      </c>
      <c r="AC129" s="6">
        <f t="shared" si="98"/>
        <v>0</v>
      </c>
      <c r="AD129" s="4"/>
      <c r="AE129" s="5">
        <f>141.65</f>
        <v>141.65</v>
      </c>
      <c r="AF129" s="5">
        <f t="shared" si="99"/>
        <v>-141.65</v>
      </c>
      <c r="AG129" s="6">
        <f t="shared" si="100"/>
        <v>0</v>
      </c>
      <c r="AH129" s="4"/>
      <c r="AI129" s="5">
        <f>141.65</f>
        <v>141.65</v>
      </c>
      <c r="AJ129" s="5">
        <f t="shared" si="101"/>
        <v>-141.65</v>
      </c>
      <c r="AK129" s="6">
        <f t="shared" si="102"/>
        <v>0</v>
      </c>
      <c r="AL129" s="4"/>
      <c r="AM129" s="5">
        <f>141.65</f>
        <v>141.65</v>
      </c>
      <c r="AN129" s="5">
        <f t="shared" si="103"/>
        <v>-141.65</v>
      </c>
      <c r="AO129" s="6">
        <f t="shared" si="104"/>
        <v>0</v>
      </c>
      <c r="AP129" s="4"/>
      <c r="AQ129" s="5">
        <f>141.65</f>
        <v>141.65</v>
      </c>
      <c r="AR129" s="5">
        <f t="shared" si="105"/>
        <v>-141.65</v>
      </c>
      <c r="AS129" s="6">
        <f t="shared" si="106"/>
        <v>0</v>
      </c>
      <c r="AT129" s="4"/>
      <c r="AU129" s="5">
        <f>141.65</f>
        <v>141.65</v>
      </c>
      <c r="AV129" s="5">
        <f t="shared" si="107"/>
        <v>-141.65</v>
      </c>
      <c r="AW129" s="6">
        <f t="shared" si="108"/>
        <v>0</v>
      </c>
      <c r="AX129" s="5">
        <f t="shared" si="109"/>
        <v>0</v>
      </c>
      <c r="AY129" s="5">
        <f t="shared" si="110"/>
        <v>1699.8000000000004</v>
      </c>
      <c r="AZ129" s="5">
        <f t="shared" si="111"/>
        <v>-1699.8000000000004</v>
      </c>
      <c r="BA129" s="6">
        <f t="shared" si="112"/>
        <v>0</v>
      </c>
    </row>
    <row r="130" spans="1:53" x14ac:dyDescent="0.25">
      <c r="A130" s="3" t="s">
        <v>143</v>
      </c>
      <c r="B130" s="5">
        <f>26</f>
        <v>26</v>
      </c>
      <c r="C130" s="4"/>
      <c r="D130" s="5">
        <f t="shared" si="85"/>
        <v>26</v>
      </c>
      <c r="E130" s="6" t="str">
        <f t="shared" si="86"/>
        <v/>
      </c>
      <c r="F130" s="4"/>
      <c r="G130" s="4"/>
      <c r="H130" s="5">
        <f t="shared" si="87"/>
        <v>0</v>
      </c>
      <c r="I130" s="6" t="str">
        <f t="shared" si="88"/>
        <v/>
      </c>
      <c r="J130" s="5">
        <f>12.35</f>
        <v>12.35</v>
      </c>
      <c r="K130" s="4"/>
      <c r="L130" s="5">
        <f t="shared" si="89"/>
        <v>12.35</v>
      </c>
      <c r="M130" s="6" t="str">
        <f t="shared" si="90"/>
        <v/>
      </c>
      <c r="N130" s="5">
        <f>866.64</f>
        <v>866.64</v>
      </c>
      <c r="O130" s="4"/>
      <c r="P130" s="5">
        <f t="shared" si="91"/>
        <v>866.64</v>
      </c>
      <c r="Q130" s="6" t="str">
        <f t="shared" si="92"/>
        <v/>
      </c>
      <c r="R130" s="5">
        <f>3.61</f>
        <v>3.61</v>
      </c>
      <c r="S130" s="4"/>
      <c r="T130" s="5">
        <f t="shared" si="93"/>
        <v>3.61</v>
      </c>
      <c r="U130" s="6" t="str">
        <f t="shared" si="94"/>
        <v/>
      </c>
      <c r="V130" s="5">
        <f>304.83</f>
        <v>304.83</v>
      </c>
      <c r="W130" s="4"/>
      <c r="X130" s="5">
        <f t="shared" si="95"/>
        <v>304.83</v>
      </c>
      <c r="Y130" s="6" t="str">
        <f t="shared" si="96"/>
        <v/>
      </c>
      <c r="Z130" s="5">
        <f>3.74</f>
        <v>3.74</v>
      </c>
      <c r="AA130" s="4"/>
      <c r="AB130" s="5">
        <f t="shared" si="97"/>
        <v>3.74</v>
      </c>
      <c r="AC130" s="6" t="str">
        <f t="shared" si="98"/>
        <v/>
      </c>
      <c r="AD130" s="5">
        <f>3.87</f>
        <v>3.87</v>
      </c>
      <c r="AE130" s="4"/>
      <c r="AF130" s="5">
        <f t="shared" si="99"/>
        <v>3.87</v>
      </c>
      <c r="AG130" s="6" t="str">
        <f t="shared" si="100"/>
        <v/>
      </c>
      <c r="AH130" s="5">
        <f>3.74</f>
        <v>3.74</v>
      </c>
      <c r="AI130" s="4"/>
      <c r="AJ130" s="5">
        <f t="shared" si="101"/>
        <v>3.74</v>
      </c>
      <c r="AK130" s="6" t="str">
        <f t="shared" si="102"/>
        <v/>
      </c>
      <c r="AL130" s="5">
        <f>3.87</f>
        <v>3.87</v>
      </c>
      <c r="AM130" s="4"/>
      <c r="AN130" s="5">
        <f t="shared" si="103"/>
        <v>3.87</v>
      </c>
      <c r="AO130" s="6" t="str">
        <f t="shared" si="104"/>
        <v/>
      </c>
      <c r="AP130" s="5">
        <f>3.87</f>
        <v>3.87</v>
      </c>
      <c r="AQ130" s="4"/>
      <c r="AR130" s="5">
        <f t="shared" si="105"/>
        <v>3.87</v>
      </c>
      <c r="AS130" s="6" t="str">
        <f t="shared" si="106"/>
        <v/>
      </c>
      <c r="AT130" s="5">
        <f>234.23</f>
        <v>234.23</v>
      </c>
      <c r="AU130" s="4"/>
      <c r="AV130" s="5">
        <f t="shared" si="107"/>
        <v>234.23</v>
      </c>
      <c r="AW130" s="6" t="str">
        <f t="shared" si="108"/>
        <v/>
      </c>
      <c r="AX130" s="5">
        <f t="shared" si="109"/>
        <v>1466.7499999999998</v>
      </c>
      <c r="AY130" s="5">
        <f t="shared" si="110"/>
        <v>0</v>
      </c>
      <c r="AZ130" s="5">
        <f t="shared" si="111"/>
        <v>1466.7499999999998</v>
      </c>
      <c r="BA130" s="6" t="str">
        <f t="shared" si="112"/>
        <v/>
      </c>
    </row>
    <row r="131" spans="1:53" x14ac:dyDescent="0.25">
      <c r="A131" s="3" t="s">
        <v>144</v>
      </c>
      <c r="B131" s="5">
        <f>14</f>
        <v>14</v>
      </c>
      <c r="C131" s="4"/>
      <c r="D131" s="5">
        <f t="shared" si="85"/>
        <v>14</v>
      </c>
      <c r="E131" s="6" t="str">
        <f t="shared" si="86"/>
        <v/>
      </c>
      <c r="F131" s="4"/>
      <c r="G131" s="4"/>
      <c r="H131" s="5">
        <f t="shared" si="87"/>
        <v>0</v>
      </c>
      <c r="I131" s="6" t="str">
        <f t="shared" si="88"/>
        <v/>
      </c>
      <c r="J131" s="5">
        <f>6.65</f>
        <v>6.65</v>
      </c>
      <c r="K131" s="4"/>
      <c r="L131" s="5">
        <f t="shared" si="89"/>
        <v>6.65</v>
      </c>
      <c r="M131" s="6" t="str">
        <f t="shared" si="90"/>
        <v/>
      </c>
      <c r="N131" s="5">
        <f>466.64</f>
        <v>466.64</v>
      </c>
      <c r="O131" s="4"/>
      <c r="P131" s="5">
        <f t="shared" si="91"/>
        <v>466.64</v>
      </c>
      <c r="Q131" s="6" t="str">
        <f t="shared" si="92"/>
        <v/>
      </c>
      <c r="R131" s="5">
        <f>1.92</f>
        <v>1.92</v>
      </c>
      <c r="S131" s="4"/>
      <c r="T131" s="5">
        <f t="shared" si="93"/>
        <v>1.92</v>
      </c>
      <c r="U131" s="6" t="str">
        <f t="shared" si="94"/>
        <v/>
      </c>
      <c r="V131" s="5">
        <f>164.12</f>
        <v>164.12</v>
      </c>
      <c r="W131" s="4"/>
      <c r="X131" s="5">
        <f t="shared" si="95"/>
        <v>164.12</v>
      </c>
      <c r="Y131" s="6" t="str">
        <f t="shared" si="96"/>
        <v/>
      </c>
      <c r="Z131" s="5">
        <f>2.02</f>
        <v>2.02</v>
      </c>
      <c r="AA131" s="4"/>
      <c r="AB131" s="5">
        <f t="shared" si="97"/>
        <v>2.02</v>
      </c>
      <c r="AC131" s="6" t="str">
        <f t="shared" si="98"/>
        <v/>
      </c>
      <c r="AD131" s="5">
        <f>2.08</f>
        <v>2.08</v>
      </c>
      <c r="AE131" s="4"/>
      <c r="AF131" s="5">
        <f t="shared" si="99"/>
        <v>2.08</v>
      </c>
      <c r="AG131" s="6" t="str">
        <f t="shared" si="100"/>
        <v/>
      </c>
      <c r="AH131" s="5">
        <f>2.01</f>
        <v>2.0099999999999998</v>
      </c>
      <c r="AI131" s="4"/>
      <c r="AJ131" s="5">
        <f t="shared" si="101"/>
        <v>2.0099999999999998</v>
      </c>
      <c r="AK131" s="6" t="str">
        <f t="shared" si="102"/>
        <v/>
      </c>
      <c r="AL131" s="5">
        <f>2.08</f>
        <v>2.08</v>
      </c>
      <c r="AM131" s="4"/>
      <c r="AN131" s="5">
        <f t="shared" si="103"/>
        <v>2.08</v>
      </c>
      <c r="AO131" s="6" t="str">
        <f t="shared" si="104"/>
        <v/>
      </c>
      <c r="AP131" s="5">
        <f>2.08</f>
        <v>2.08</v>
      </c>
      <c r="AQ131" s="4"/>
      <c r="AR131" s="5">
        <f t="shared" si="105"/>
        <v>2.08</v>
      </c>
      <c r="AS131" s="6" t="str">
        <f t="shared" si="106"/>
        <v/>
      </c>
      <c r="AT131" s="5">
        <f>126.12</f>
        <v>126.12</v>
      </c>
      <c r="AU131" s="4"/>
      <c r="AV131" s="5">
        <f t="shared" si="107"/>
        <v>126.12</v>
      </c>
      <c r="AW131" s="6" t="str">
        <f t="shared" si="108"/>
        <v/>
      </c>
      <c r="AX131" s="5">
        <f t="shared" si="109"/>
        <v>789.72</v>
      </c>
      <c r="AY131" s="5">
        <f t="shared" si="110"/>
        <v>0</v>
      </c>
      <c r="AZ131" s="5">
        <f t="shared" si="111"/>
        <v>789.72</v>
      </c>
      <c r="BA131" s="6" t="str">
        <f t="shared" si="112"/>
        <v/>
      </c>
    </row>
    <row r="132" spans="1:53" x14ac:dyDescent="0.25">
      <c r="A132" s="3" t="s">
        <v>145</v>
      </c>
      <c r="B132" s="5">
        <f>0</f>
        <v>0</v>
      </c>
      <c r="C132" s="4"/>
      <c r="D132" s="5">
        <f t="shared" si="85"/>
        <v>0</v>
      </c>
      <c r="E132" s="6" t="str">
        <f t="shared" si="86"/>
        <v/>
      </c>
      <c r="F132" s="4"/>
      <c r="G132" s="4"/>
      <c r="H132" s="5">
        <f t="shared" si="87"/>
        <v>0</v>
      </c>
      <c r="I132" s="6" t="str">
        <f t="shared" si="88"/>
        <v/>
      </c>
      <c r="J132" s="5">
        <f>0</f>
        <v>0</v>
      </c>
      <c r="K132" s="4"/>
      <c r="L132" s="5">
        <f t="shared" si="89"/>
        <v>0</v>
      </c>
      <c r="M132" s="6" t="str">
        <f t="shared" si="90"/>
        <v/>
      </c>
      <c r="N132" s="5">
        <f>0</f>
        <v>0</v>
      </c>
      <c r="O132" s="4"/>
      <c r="P132" s="5">
        <f t="shared" si="91"/>
        <v>0</v>
      </c>
      <c r="Q132" s="6" t="str">
        <f t="shared" si="92"/>
        <v/>
      </c>
      <c r="R132" s="5">
        <f>0</f>
        <v>0</v>
      </c>
      <c r="S132" s="4"/>
      <c r="T132" s="5">
        <f t="shared" si="93"/>
        <v>0</v>
      </c>
      <c r="U132" s="6" t="str">
        <f t="shared" si="94"/>
        <v/>
      </c>
      <c r="V132" s="5">
        <f>0</f>
        <v>0</v>
      </c>
      <c r="W132" s="4"/>
      <c r="X132" s="5">
        <f t="shared" si="95"/>
        <v>0</v>
      </c>
      <c r="Y132" s="6" t="str">
        <f t="shared" si="96"/>
        <v/>
      </c>
      <c r="Z132" s="5">
        <f>0</f>
        <v>0</v>
      </c>
      <c r="AA132" s="4"/>
      <c r="AB132" s="5">
        <f t="shared" si="97"/>
        <v>0</v>
      </c>
      <c r="AC132" s="6" t="str">
        <f t="shared" si="98"/>
        <v/>
      </c>
      <c r="AD132" s="5">
        <f>0</f>
        <v>0</v>
      </c>
      <c r="AE132" s="4"/>
      <c r="AF132" s="5">
        <f t="shared" si="99"/>
        <v>0</v>
      </c>
      <c r="AG132" s="6" t="str">
        <f t="shared" si="100"/>
        <v/>
      </c>
      <c r="AH132" s="5">
        <f>0</f>
        <v>0</v>
      </c>
      <c r="AI132" s="4"/>
      <c r="AJ132" s="5">
        <f t="shared" si="101"/>
        <v>0</v>
      </c>
      <c r="AK132" s="6" t="str">
        <f t="shared" si="102"/>
        <v/>
      </c>
      <c r="AL132" s="5">
        <f>0</f>
        <v>0</v>
      </c>
      <c r="AM132" s="4"/>
      <c r="AN132" s="5">
        <f t="shared" si="103"/>
        <v>0</v>
      </c>
      <c r="AO132" s="6" t="str">
        <f t="shared" si="104"/>
        <v/>
      </c>
      <c r="AP132" s="5">
        <f>0</f>
        <v>0</v>
      </c>
      <c r="AQ132" s="4"/>
      <c r="AR132" s="5">
        <f t="shared" si="105"/>
        <v>0</v>
      </c>
      <c r="AS132" s="6" t="str">
        <f t="shared" si="106"/>
        <v/>
      </c>
      <c r="AT132" s="5">
        <f>0</f>
        <v>0</v>
      </c>
      <c r="AU132" s="4"/>
      <c r="AV132" s="5">
        <f t="shared" si="107"/>
        <v>0</v>
      </c>
      <c r="AW132" s="6" t="str">
        <f t="shared" si="108"/>
        <v/>
      </c>
      <c r="AX132" s="5">
        <f t="shared" si="109"/>
        <v>0</v>
      </c>
      <c r="AY132" s="5">
        <f t="shared" si="110"/>
        <v>0</v>
      </c>
      <c r="AZ132" s="5">
        <f t="shared" si="111"/>
        <v>0</v>
      </c>
      <c r="BA132" s="6" t="str">
        <f t="shared" si="112"/>
        <v/>
      </c>
    </row>
    <row r="133" spans="1:53" x14ac:dyDescent="0.25">
      <c r="A133" s="3" t="s">
        <v>146</v>
      </c>
      <c r="B133" s="7">
        <f>(((B129)+(B130))+(B131))+(B132)</f>
        <v>40</v>
      </c>
      <c r="C133" s="7">
        <f>(((C129)+(C130))+(C131))+(C132)</f>
        <v>141.65</v>
      </c>
      <c r="D133" s="7">
        <f t="shared" si="85"/>
        <v>-101.65</v>
      </c>
      <c r="E133" s="8">
        <f t="shared" si="86"/>
        <v>0.28238616307800918</v>
      </c>
      <c r="F133" s="7">
        <f>(((F129)+(F130))+(F131))+(F132)</f>
        <v>0</v>
      </c>
      <c r="G133" s="7">
        <f>(((G129)+(G130))+(G131))+(G132)</f>
        <v>141.65</v>
      </c>
      <c r="H133" s="7">
        <f t="shared" si="87"/>
        <v>-141.65</v>
      </c>
      <c r="I133" s="8">
        <f t="shared" si="88"/>
        <v>0</v>
      </c>
      <c r="J133" s="7">
        <f>(((J129)+(J130))+(J131))+(J132)</f>
        <v>19</v>
      </c>
      <c r="K133" s="7">
        <f>(((K129)+(K130))+(K131))+(K132)</f>
        <v>141.65</v>
      </c>
      <c r="L133" s="7">
        <f t="shared" si="89"/>
        <v>-122.65</v>
      </c>
      <c r="M133" s="8">
        <f t="shared" si="90"/>
        <v>0.13413342746205437</v>
      </c>
      <c r="N133" s="7">
        <f>(((N129)+(N130))+(N131))+(N132)</f>
        <v>1333.28</v>
      </c>
      <c r="O133" s="7">
        <f>(((O129)+(O130))+(O131))+(O132)</f>
        <v>141.65</v>
      </c>
      <c r="P133" s="7">
        <f t="shared" si="91"/>
        <v>1191.6299999999999</v>
      </c>
      <c r="Q133" s="8">
        <f t="shared" si="92"/>
        <v>9.4124955877162009</v>
      </c>
      <c r="R133" s="7">
        <f>(((R129)+(R130))+(R131))+(R132)</f>
        <v>5.5299999999999994</v>
      </c>
      <c r="S133" s="7">
        <f>(((S129)+(S130))+(S131))+(S132)</f>
        <v>141.65</v>
      </c>
      <c r="T133" s="7">
        <f t="shared" si="93"/>
        <v>-136.12</v>
      </c>
      <c r="U133" s="8">
        <f t="shared" si="94"/>
        <v>3.9039887045534766E-2</v>
      </c>
      <c r="V133" s="7">
        <f>(((V129)+(V130))+(V131))+(V132)</f>
        <v>468.95</v>
      </c>
      <c r="W133" s="7">
        <f>(((W129)+(W130))+(W131))+(W132)</f>
        <v>141.65</v>
      </c>
      <c r="X133" s="7">
        <f t="shared" si="95"/>
        <v>327.29999999999995</v>
      </c>
      <c r="Y133" s="8">
        <f t="shared" si="96"/>
        <v>3.3106247793858099</v>
      </c>
      <c r="Z133" s="7">
        <f>(((Z129)+(Z130))+(Z131))+(Z132)</f>
        <v>5.76</v>
      </c>
      <c r="AA133" s="7">
        <f>(((AA129)+(AA130))+(AA131))+(AA132)</f>
        <v>141.65</v>
      </c>
      <c r="AB133" s="7">
        <f t="shared" si="97"/>
        <v>-135.89000000000001</v>
      </c>
      <c r="AC133" s="8">
        <f t="shared" si="98"/>
        <v>4.0663607483233319E-2</v>
      </c>
      <c r="AD133" s="7">
        <f>(((AD129)+(AD130))+(AD131))+(AD132)</f>
        <v>5.95</v>
      </c>
      <c r="AE133" s="7">
        <f>(((AE129)+(AE130))+(AE131))+(AE132)</f>
        <v>141.65</v>
      </c>
      <c r="AF133" s="7">
        <f t="shared" si="99"/>
        <v>-135.70000000000002</v>
      </c>
      <c r="AG133" s="8">
        <f t="shared" si="100"/>
        <v>4.2004941757853867E-2</v>
      </c>
      <c r="AH133" s="7">
        <f>(((AH129)+(AH130))+(AH131))+(AH132)</f>
        <v>5.75</v>
      </c>
      <c r="AI133" s="7">
        <f>(((AI129)+(AI130))+(AI131))+(AI132)</f>
        <v>141.65</v>
      </c>
      <c r="AJ133" s="7">
        <f t="shared" si="101"/>
        <v>-135.9</v>
      </c>
      <c r="AK133" s="8">
        <f t="shared" si="102"/>
        <v>4.0593010942463821E-2</v>
      </c>
      <c r="AL133" s="7">
        <f>(((AL129)+(AL130))+(AL131))+(AL132)</f>
        <v>5.95</v>
      </c>
      <c r="AM133" s="7">
        <f>(((AM129)+(AM130))+(AM131))+(AM132)</f>
        <v>141.65</v>
      </c>
      <c r="AN133" s="7">
        <f t="shared" si="103"/>
        <v>-135.70000000000002</v>
      </c>
      <c r="AO133" s="8">
        <f t="shared" si="104"/>
        <v>4.2004941757853867E-2</v>
      </c>
      <c r="AP133" s="7">
        <f>(((AP129)+(AP130))+(AP131))+(AP132)</f>
        <v>5.95</v>
      </c>
      <c r="AQ133" s="7">
        <f>(((AQ129)+(AQ130))+(AQ131))+(AQ132)</f>
        <v>141.65</v>
      </c>
      <c r="AR133" s="7">
        <f t="shared" si="105"/>
        <v>-135.70000000000002</v>
      </c>
      <c r="AS133" s="8">
        <f t="shared" si="106"/>
        <v>4.2004941757853867E-2</v>
      </c>
      <c r="AT133" s="7">
        <f>(((AT129)+(AT130))+(AT131))+(AT132)</f>
        <v>360.35</v>
      </c>
      <c r="AU133" s="7">
        <f>(((AU129)+(AU130))+(AU131))+(AU132)</f>
        <v>141.65</v>
      </c>
      <c r="AV133" s="7">
        <f t="shared" si="107"/>
        <v>218.70000000000002</v>
      </c>
      <c r="AW133" s="8">
        <f t="shared" si="108"/>
        <v>2.5439463466290153</v>
      </c>
      <c r="AX133" s="7">
        <f t="shared" si="109"/>
        <v>2256.4700000000003</v>
      </c>
      <c r="AY133" s="7">
        <f t="shared" si="110"/>
        <v>1699.8000000000004</v>
      </c>
      <c r="AZ133" s="7">
        <f t="shared" si="111"/>
        <v>556.66999999999985</v>
      </c>
      <c r="BA133" s="8">
        <f t="shared" si="112"/>
        <v>1.3274914695846569</v>
      </c>
    </row>
    <row r="134" spans="1:53" x14ac:dyDescent="0.25">
      <c r="A134" s="3" t="s">
        <v>147</v>
      </c>
      <c r="B134" s="4"/>
      <c r="C134" s="4"/>
      <c r="D134" s="5">
        <f t="shared" si="85"/>
        <v>0</v>
      </c>
      <c r="E134" s="6" t="str">
        <f t="shared" si="86"/>
        <v/>
      </c>
      <c r="F134" s="4"/>
      <c r="G134" s="4"/>
      <c r="H134" s="5">
        <f t="shared" si="87"/>
        <v>0</v>
      </c>
      <c r="I134" s="6" t="str">
        <f t="shared" si="88"/>
        <v/>
      </c>
      <c r="J134" s="4"/>
      <c r="K134" s="4"/>
      <c r="L134" s="5">
        <f t="shared" si="89"/>
        <v>0</v>
      </c>
      <c r="M134" s="6" t="str">
        <f t="shared" si="90"/>
        <v/>
      </c>
      <c r="N134" s="4"/>
      <c r="O134" s="4"/>
      <c r="P134" s="5">
        <f t="shared" si="91"/>
        <v>0</v>
      </c>
      <c r="Q134" s="6" t="str">
        <f t="shared" si="92"/>
        <v/>
      </c>
      <c r="R134" s="4"/>
      <c r="S134" s="4"/>
      <c r="T134" s="5">
        <f t="shared" si="93"/>
        <v>0</v>
      </c>
      <c r="U134" s="6" t="str">
        <f t="shared" si="94"/>
        <v/>
      </c>
      <c r="V134" s="4"/>
      <c r="W134" s="4"/>
      <c r="X134" s="5">
        <f t="shared" si="95"/>
        <v>0</v>
      </c>
      <c r="Y134" s="6" t="str">
        <f t="shared" si="96"/>
        <v/>
      </c>
      <c r="Z134" s="4"/>
      <c r="AA134" s="4"/>
      <c r="AB134" s="5">
        <f t="shared" si="97"/>
        <v>0</v>
      </c>
      <c r="AC134" s="6" t="str">
        <f t="shared" si="98"/>
        <v/>
      </c>
      <c r="AD134" s="4"/>
      <c r="AE134" s="4"/>
      <c r="AF134" s="5">
        <f t="shared" si="99"/>
        <v>0</v>
      </c>
      <c r="AG134" s="6" t="str">
        <f t="shared" si="100"/>
        <v/>
      </c>
      <c r="AH134" s="4"/>
      <c r="AI134" s="4"/>
      <c r="AJ134" s="5">
        <f t="shared" si="101"/>
        <v>0</v>
      </c>
      <c r="AK134" s="6" t="str">
        <f t="shared" si="102"/>
        <v/>
      </c>
      <c r="AL134" s="4"/>
      <c r="AM134" s="4"/>
      <c r="AN134" s="5">
        <f t="shared" si="103"/>
        <v>0</v>
      </c>
      <c r="AO134" s="6" t="str">
        <f t="shared" si="104"/>
        <v/>
      </c>
      <c r="AP134" s="4"/>
      <c r="AQ134" s="4"/>
      <c r="AR134" s="5">
        <f t="shared" si="105"/>
        <v>0</v>
      </c>
      <c r="AS134" s="6" t="str">
        <f t="shared" si="106"/>
        <v/>
      </c>
      <c r="AT134" s="5">
        <f>79.14</f>
        <v>79.14</v>
      </c>
      <c r="AU134" s="4"/>
      <c r="AV134" s="5">
        <f t="shared" si="107"/>
        <v>79.14</v>
      </c>
      <c r="AW134" s="6" t="str">
        <f t="shared" si="108"/>
        <v/>
      </c>
      <c r="AX134" s="5">
        <f t="shared" si="109"/>
        <v>79.14</v>
      </c>
      <c r="AY134" s="5">
        <f t="shared" si="110"/>
        <v>0</v>
      </c>
      <c r="AZ134" s="5">
        <f t="shared" si="111"/>
        <v>79.14</v>
      </c>
      <c r="BA134" s="6" t="str">
        <f t="shared" si="112"/>
        <v/>
      </c>
    </row>
    <row r="135" spans="1:53" x14ac:dyDescent="0.25">
      <c r="A135" s="3" t="s">
        <v>148</v>
      </c>
      <c r="B135" s="7">
        <f>((((((((((((((((((((((((B18)+(B23))+(B28))+(B33))+(B38))+(B43))+(B48))+(B53))+(B58))+(B63))+(B68))+(B73))+(B78))+(B83))+(B88))+(B93))+(B98))+(B103))+(B108))+(B113))+(B118))+(B123))+(B128))+(B133))+(B134)</f>
        <v>15308.6</v>
      </c>
      <c r="C135" s="7">
        <f>((((((((((((((((((((((((C18)+(C23))+(C28))+(C33))+(C38))+(C43))+(C48))+(C53))+(C58))+(C63))+(C68))+(C73))+(C78))+(C83))+(C88))+(C93))+(C98))+(C103))+(C108))+(C113))+(C118))+(C123))+(C128))+(C133))+(C134)</f>
        <v>26518.18</v>
      </c>
      <c r="D135" s="7">
        <f t="shared" si="85"/>
        <v>-11209.58</v>
      </c>
      <c r="E135" s="8">
        <f t="shared" si="86"/>
        <v>0.57728697821645381</v>
      </c>
      <c r="F135" s="7">
        <f>((((((((((((((((((((((((F18)+(F23))+(F28))+(F33))+(F38))+(F43))+(F48))+(F53))+(F58))+(F63))+(F68))+(F73))+(F78))+(F83))+(F88))+(F93))+(F98))+(F103))+(F108))+(F113))+(F118))+(F123))+(F128))+(F133))+(F134)</f>
        <v>35589.560000000005</v>
      </c>
      <c r="G135" s="7">
        <f>((((((((((((((((((((((((G18)+(G23))+(G28))+(G33))+(G38))+(G43))+(G48))+(G53))+(G58))+(G63))+(G68))+(G73))+(G78))+(G83))+(G88))+(G93))+(G98))+(G103))+(G108))+(G113))+(G118))+(G123))+(G128))+(G133))+(G134)</f>
        <v>26518.18</v>
      </c>
      <c r="H135" s="7">
        <f t="shared" si="87"/>
        <v>9071.3800000000047</v>
      </c>
      <c r="I135" s="8">
        <f t="shared" si="88"/>
        <v>1.3420815455660986</v>
      </c>
      <c r="J135" s="7">
        <f>((((((((((((((((((((((((J18)+(J23))+(J28))+(J33))+(J38))+(J43))+(J48))+(J53))+(J58))+(J63))+(J68))+(J73))+(J78))+(J83))+(J88))+(J93))+(J98))+(J103))+(J108))+(J113))+(J118))+(J123))+(J128))+(J133))+(J134)</f>
        <v>19003.780000000002</v>
      </c>
      <c r="K135" s="7">
        <f>((((((((((((((((((((((((K18)+(K23))+(K28))+(K33))+(K38))+(K43))+(K48))+(K53))+(K58))+(K63))+(K68))+(K73))+(K78))+(K83))+(K88))+(K93))+(K98))+(K103))+(K108))+(K113))+(K118))+(K123))+(K128))+(K133))+(K134)</f>
        <v>26518.18</v>
      </c>
      <c r="L135" s="7">
        <f t="shared" si="89"/>
        <v>-7514.3999999999978</v>
      </c>
      <c r="M135" s="8">
        <f t="shared" si="90"/>
        <v>0.71663213689627281</v>
      </c>
      <c r="N135" s="7">
        <f>((((((((((((((((((((((((N18)+(N23))+(N28))+(N33))+(N38))+(N43))+(N48))+(N53))+(N58))+(N63))+(N68))+(N73))+(N78))+(N83))+(N88))+(N93))+(N98))+(N103))+(N108))+(N113))+(N118))+(N123))+(N128))+(N133))+(N134)</f>
        <v>34390.31</v>
      </c>
      <c r="O135" s="7">
        <f>((((((((((((((((((((((((O18)+(O23))+(O28))+(O33))+(O38))+(O43))+(O48))+(O53))+(O58))+(O63))+(O68))+(O73))+(O78))+(O83))+(O88))+(O93))+(O98))+(O103))+(O108))+(O113))+(O118))+(O123))+(O128))+(O133))+(O134)</f>
        <v>26518.18</v>
      </c>
      <c r="P135" s="7">
        <f t="shared" si="91"/>
        <v>7872.1299999999974</v>
      </c>
      <c r="Q135" s="8">
        <f t="shared" si="92"/>
        <v>1.2968578537441104</v>
      </c>
      <c r="R135" s="7">
        <f>((((((((((((((((((((((((R18)+(R23))+(R28))+(R33))+(R38))+(R43))+(R48))+(R53))+(R58))+(R63))+(R68))+(R73))+(R78))+(R83))+(R88))+(R93))+(R98))+(R103))+(R108))+(R113))+(R118))+(R123))+(R128))+(R133))+(R134)</f>
        <v>27947.919999999998</v>
      </c>
      <c r="S135" s="7">
        <f>((((((((((((((((((((((((S18)+(S23))+(S28))+(S33))+(S38))+(S43))+(S48))+(S53))+(S58))+(S63))+(S68))+(S73))+(S78))+(S83))+(S88))+(S93))+(S98))+(S103))+(S108))+(S113))+(S118))+(S123))+(S128))+(S133))+(S134)</f>
        <v>26518.18</v>
      </c>
      <c r="T135" s="7">
        <f t="shared" si="93"/>
        <v>1429.739999999998</v>
      </c>
      <c r="U135" s="8">
        <f t="shared" si="94"/>
        <v>1.053915464786799</v>
      </c>
      <c r="V135" s="7">
        <f>((((((((((((((((((((((((V18)+(V23))+(V28))+(V33))+(V38))+(V43))+(V48))+(V53))+(V58))+(V63))+(V68))+(V73))+(V78))+(V83))+(V88))+(V93))+(V98))+(V103))+(V108))+(V113))+(V118))+(V123))+(V128))+(V133))+(V134)</f>
        <v>21993.399999999998</v>
      </c>
      <c r="W135" s="7">
        <f>((((((((((((((((((((((((W18)+(W23))+(W28))+(W33))+(W38))+(W43))+(W48))+(W53))+(W58))+(W63))+(W68))+(W73))+(W78))+(W83))+(W88))+(W93))+(W98))+(W103))+(W108))+(W113))+(W118))+(W123))+(W128))+(W133))+(W134)</f>
        <v>26518.18</v>
      </c>
      <c r="X135" s="7">
        <f t="shared" si="95"/>
        <v>-4524.7800000000025</v>
      </c>
      <c r="Y135" s="8">
        <f t="shared" si="96"/>
        <v>0.82937064308334874</v>
      </c>
      <c r="Z135" s="7">
        <f>((((((((((((((((((((((((Z18)+(Z23))+(Z28))+(Z33))+(Z38))+(Z43))+(Z48))+(Z53))+(Z58))+(Z63))+(Z68))+(Z73))+(Z78))+(Z83))+(Z88))+(Z93))+(Z98))+(Z103))+(Z108))+(Z113))+(Z118))+(Z123))+(Z128))+(Z133))+(Z134)</f>
        <v>15702.280000000004</v>
      </c>
      <c r="AA135" s="7">
        <f>((((((((((((((((((((((((AA18)+(AA23))+(AA28))+(AA33))+(AA38))+(AA43))+(AA48))+(AA53))+(AA58))+(AA63))+(AA68))+(AA73))+(AA78))+(AA83))+(AA88))+(AA93))+(AA98))+(AA103))+(AA108))+(AA113))+(AA118))+(AA123))+(AA128))+(AA133))+(AA134)</f>
        <v>26518.18</v>
      </c>
      <c r="AB135" s="7">
        <f t="shared" si="97"/>
        <v>-10815.899999999996</v>
      </c>
      <c r="AC135" s="8">
        <f t="shared" si="98"/>
        <v>0.59213264258708564</v>
      </c>
      <c r="AD135" s="7">
        <f>((((((((((((((((((((((((AD18)+(AD23))+(AD28))+(AD33))+(AD38))+(AD43))+(AD48))+(AD53))+(AD58))+(AD63))+(AD68))+(AD73))+(AD78))+(AD83))+(AD88))+(AD93))+(AD98))+(AD103))+(AD108))+(AD113))+(AD118))+(AD123))+(AD128))+(AD133))+(AD134)</f>
        <v>13969.490000000002</v>
      </c>
      <c r="AE135" s="7">
        <f>((((((((((((((((((((((((AE18)+(AE23))+(AE28))+(AE33))+(AE38))+(AE43))+(AE48))+(AE53))+(AE58))+(AE63))+(AE68))+(AE73))+(AE78))+(AE83))+(AE88))+(AE93))+(AE98))+(AE103))+(AE108))+(AE113))+(AE118))+(AE123))+(AE128))+(AE133))+(AE134)</f>
        <v>26518.18</v>
      </c>
      <c r="AF135" s="7">
        <f t="shared" si="99"/>
        <v>-12548.689999999999</v>
      </c>
      <c r="AG135" s="8">
        <f t="shared" si="100"/>
        <v>0.52678916878910997</v>
      </c>
      <c r="AH135" s="7">
        <f>((((((((((((((((((((((((AH18)+(AH23))+(AH28))+(AH33))+(AH38))+(AH43))+(AH48))+(AH53))+(AH58))+(AH63))+(AH68))+(AH73))+(AH78))+(AH83))+(AH88))+(AH93))+(AH98))+(AH103))+(AH108))+(AH113))+(AH118))+(AH123))+(AH128))+(AH133))+(AH134)</f>
        <v>18276.930000000004</v>
      </c>
      <c r="AI135" s="7">
        <f>((((((((((((((((((((((((AI18)+(AI23))+(AI28))+(AI33))+(AI38))+(AI43))+(AI48))+(AI53))+(AI58))+(AI63))+(AI68))+(AI73))+(AI78))+(AI83))+(AI88))+(AI93))+(AI98))+(AI103))+(AI108))+(AI113))+(AI118))+(AI123))+(AI128))+(AI133))+(AI134)</f>
        <v>26518.18</v>
      </c>
      <c r="AJ135" s="7">
        <f t="shared" si="101"/>
        <v>-8241.2499999999964</v>
      </c>
      <c r="AK135" s="8">
        <f t="shared" si="102"/>
        <v>0.68922263895938574</v>
      </c>
      <c r="AL135" s="7">
        <f>((((((((((((((((((((((((AL18)+(AL23))+(AL28))+(AL33))+(AL38))+(AL43))+(AL48))+(AL53))+(AL58))+(AL63))+(AL68))+(AL73))+(AL78))+(AL83))+(AL88))+(AL93))+(AL98))+(AL103))+(AL108))+(AL113))+(AL118))+(AL123))+(AL128))+(AL133))+(AL134)</f>
        <v>22055.940000000002</v>
      </c>
      <c r="AM135" s="7">
        <f>((((((((((((((((((((((((AM18)+(AM23))+(AM28))+(AM33))+(AM38))+(AM43))+(AM48))+(AM53))+(AM58))+(AM63))+(AM68))+(AM73))+(AM78))+(AM83))+(AM88))+(AM93))+(AM98))+(AM103))+(AM108))+(AM113))+(AM118))+(AM123))+(AM128))+(AM133))+(AM134)</f>
        <v>26518.18</v>
      </c>
      <c r="AN135" s="7">
        <f t="shared" si="103"/>
        <v>-4462.239999999998</v>
      </c>
      <c r="AO135" s="8">
        <f t="shared" si="104"/>
        <v>0.83172902514425961</v>
      </c>
      <c r="AP135" s="7">
        <f>((((((((((((((((((((((((AP18)+(AP23))+(AP28))+(AP33))+(AP38))+(AP43))+(AP48))+(AP53))+(AP58))+(AP63))+(AP68))+(AP73))+(AP78))+(AP83))+(AP88))+(AP93))+(AP98))+(AP103))+(AP108))+(AP113))+(AP118))+(AP123))+(AP128))+(AP133))+(AP134)</f>
        <v>16742.890000000003</v>
      </c>
      <c r="AQ135" s="7">
        <f>((((((((((((((((((((((((AQ18)+(AQ23))+(AQ28))+(AQ33))+(AQ38))+(AQ43))+(AQ48))+(AQ53))+(AQ58))+(AQ63))+(AQ68))+(AQ73))+(AQ78))+(AQ83))+(AQ88))+(AQ93))+(AQ98))+(AQ103))+(AQ108))+(AQ113))+(AQ118))+(AQ123))+(AQ128))+(AQ133))+(AQ134)</f>
        <v>26518.18</v>
      </c>
      <c r="AR135" s="7">
        <f t="shared" si="105"/>
        <v>-9775.2899999999972</v>
      </c>
      <c r="AS135" s="8">
        <f t="shared" si="106"/>
        <v>0.6313740234058296</v>
      </c>
      <c r="AT135" s="7">
        <f>((((((((((((((((((((((((AT18)+(AT23))+(AT28))+(AT33))+(AT38))+(AT43))+(AT48))+(AT53))+(AT58))+(AT63))+(AT68))+(AT73))+(AT78))+(AT83))+(AT88))+(AT93))+(AT98))+(AT103))+(AT108))+(AT113))+(AT118))+(AT123))+(AT128))+(AT133))+(AT134)</f>
        <v>28014.35</v>
      </c>
      <c r="AU135" s="7">
        <f>((((((((((((((((((((((((AU18)+(AU23))+(AU28))+(AU33))+(AU38))+(AU43))+(AU48))+(AU53))+(AU58))+(AU63))+(AU68))+(AU73))+(AU78))+(AU83))+(AU88))+(AU93))+(AU98))+(AU103))+(AU108))+(AU113))+(AU118))+(AU123))+(AU128))+(AU133))+(AU134)</f>
        <v>26518.18</v>
      </c>
      <c r="AV135" s="7">
        <f t="shared" si="107"/>
        <v>1496.1699999999983</v>
      </c>
      <c r="AW135" s="8">
        <f t="shared" si="108"/>
        <v>1.0564205386644181</v>
      </c>
      <c r="AX135" s="7">
        <f t="shared" si="109"/>
        <v>268995.44999999995</v>
      </c>
      <c r="AY135" s="7">
        <f t="shared" si="110"/>
        <v>318218.15999999997</v>
      </c>
      <c r="AZ135" s="7">
        <f t="shared" si="111"/>
        <v>-49222.710000000021</v>
      </c>
      <c r="BA135" s="8">
        <f t="shared" si="112"/>
        <v>0.84531772165359753</v>
      </c>
    </row>
    <row r="136" spans="1:53" x14ac:dyDescent="0.25">
      <c r="A136" s="3" t="s">
        <v>149</v>
      </c>
      <c r="B136" s="7">
        <f>(B12)-(B135)</f>
        <v>17.479999999999563</v>
      </c>
      <c r="C136" s="7">
        <f>(C12)-(C135)</f>
        <v>0</v>
      </c>
      <c r="D136" s="7">
        <f t="shared" si="85"/>
        <v>17.479999999999563</v>
      </c>
      <c r="E136" s="8" t="str">
        <f t="shared" si="86"/>
        <v/>
      </c>
      <c r="F136" s="7">
        <f>(F12)-(F135)</f>
        <v>-5956.3100000000049</v>
      </c>
      <c r="G136" s="7">
        <f>(G12)-(G135)</f>
        <v>0</v>
      </c>
      <c r="H136" s="7">
        <f t="shared" si="87"/>
        <v>-5956.3100000000049</v>
      </c>
      <c r="I136" s="8" t="str">
        <f t="shared" si="88"/>
        <v/>
      </c>
      <c r="J136" s="7">
        <f>(J12)-(J135)</f>
        <v>5802.7899999999972</v>
      </c>
      <c r="K136" s="7">
        <f>(K12)-(K135)</f>
        <v>0</v>
      </c>
      <c r="L136" s="7">
        <f t="shared" si="89"/>
        <v>5802.7899999999972</v>
      </c>
      <c r="M136" s="8" t="str">
        <f t="shared" si="90"/>
        <v/>
      </c>
      <c r="N136" s="7">
        <f>(N12)-(N135)</f>
        <v>13.230000000003201</v>
      </c>
      <c r="O136" s="7">
        <f>(O12)-(O135)</f>
        <v>0</v>
      </c>
      <c r="P136" s="7">
        <f t="shared" si="91"/>
        <v>13.230000000003201</v>
      </c>
      <c r="Q136" s="8" t="str">
        <f t="shared" si="92"/>
        <v/>
      </c>
      <c r="R136" s="7">
        <f>(R12)-(R135)</f>
        <v>12.180000000000291</v>
      </c>
      <c r="S136" s="7">
        <f>(S12)-(S135)</f>
        <v>0</v>
      </c>
      <c r="T136" s="7">
        <f t="shared" si="93"/>
        <v>12.180000000000291</v>
      </c>
      <c r="U136" s="8" t="str">
        <f t="shared" si="94"/>
        <v/>
      </c>
      <c r="V136" s="7">
        <f>(V12)-(V135)</f>
        <v>15.330000000001746</v>
      </c>
      <c r="W136" s="7">
        <f>(W12)-(W135)</f>
        <v>0</v>
      </c>
      <c r="X136" s="7">
        <f t="shared" si="95"/>
        <v>15.330000000001746</v>
      </c>
      <c r="Y136" s="8" t="str">
        <f t="shared" si="96"/>
        <v/>
      </c>
      <c r="Z136" s="7">
        <f>(Z12)-(Z135)</f>
        <v>14.119999999995343</v>
      </c>
      <c r="AA136" s="7">
        <f>(AA12)-(AA135)</f>
        <v>0</v>
      </c>
      <c r="AB136" s="7">
        <f t="shared" si="97"/>
        <v>14.119999999995343</v>
      </c>
      <c r="AC136" s="8" t="str">
        <f t="shared" si="98"/>
        <v/>
      </c>
      <c r="AD136" s="7">
        <f>(AD12)-(AD135)</f>
        <v>1679.8999999999978</v>
      </c>
      <c r="AE136" s="7">
        <f>(AE12)-(AE135)</f>
        <v>0</v>
      </c>
      <c r="AF136" s="7">
        <f t="shared" si="99"/>
        <v>1679.8999999999978</v>
      </c>
      <c r="AG136" s="8" t="str">
        <f t="shared" si="100"/>
        <v/>
      </c>
      <c r="AH136" s="7">
        <f>(AH12)-(AH135)</f>
        <v>14.759999999994761</v>
      </c>
      <c r="AI136" s="7">
        <f>(AI12)-(AI135)</f>
        <v>0</v>
      </c>
      <c r="AJ136" s="7">
        <f t="shared" si="101"/>
        <v>14.759999999994761</v>
      </c>
      <c r="AK136" s="8" t="str">
        <f t="shared" si="102"/>
        <v/>
      </c>
      <c r="AL136" s="7">
        <f>(AL12)-(AL135)</f>
        <v>12.229999999995925</v>
      </c>
      <c r="AM136" s="7">
        <f>(AM12)-(AM135)</f>
        <v>0</v>
      </c>
      <c r="AN136" s="7">
        <f t="shared" si="103"/>
        <v>12.229999999995925</v>
      </c>
      <c r="AO136" s="8" t="str">
        <f t="shared" si="104"/>
        <v/>
      </c>
      <c r="AP136" s="7">
        <f>(AP12)-(AP135)</f>
        <v>11.849999999994907</v>
      </c>
      <c r="AQ136" s="7">
        <f>(AQ12)-(AQ135)</f>
        <v>0</v>
      </c>
      <c r="AR136" s="7">
        <f t="shared" si="105"/>
        <v>11.849999999994907</v>
      </c>
      <c r="AS136" s="8" t="str">
        <f t="shared" si="106"/>
        <v/>
      </c>
      <c r="AT136" s="7">
        <f>(AT12)-(AT135)</f>
        <v>-2146.5199999999968</v>
      </c>
      <c r="AU136" s="7">
        <f>(AU12)-(AU135)</f>
        <v>0</v>
      </c>
      <c r="AV136" s="7">
        <f t="shared" si="107"/>
        <v>-2146.5199999999968</v>
      </c>
      <c r="AW136" s="8" t="str">
        <f t="shared" si="108"/>
        <v/>
      </c>
      <c r="AX136" s="7">
        <f t="shared" si="109"/>
        <v>-508.96000000002095</v>
      </c>
      <c r="AY136" s="7">
        <f t="shared" si="110"/>
        <v>0</v>
      </c>
      <c r="AZ136" s="7">
        <f t="shared" si="111"/>
        <v>-508.96000000002095</v>
      </c>
      <c r="BA136" s="8" t="str">
        <f t="shared" si="112"/>
        <v/>
      </c>
    </row>
    <row r="137" spans="1:53" x14ac:dyDescent="0.25">
      <c r="A137" s="3" t="s">
        <v>150</v>
      </c>
      <c r="B137" s="7">
        <f>(B136)+(0)</f>
        <v>17.479999999999563</v>
      </c>
      <c r="C137" s="7">
        <f>(C136)+(0)</f>
        <v>0</v>
      </c>
      <c r="D137" s="7">
        <f t="shared" si="85"/>
        <v>17.479999999999563</v>
      </c>
      <c r="E137" s="8" t="str">
        <f t="shared" si="86"/>
        <v/>
      </c>
      <c r="F137" s="7">
        <f>(F136)+(0)</f>
        <v>-5956.3100000000049</v>
      </c>
      <c r="G137" s="7">
        <f>(G136)+(0)</f>
        <v>0</v>
      </c>
      <c r="H137" s="7">
        <f t="shared" si="87"/>
        <v>-5956.3100000000049</v>
      </c>
      <c r="I137" s="8" t="str">
        <f t="shared" si="88"/>
        <v/>
      </c>
      <c r="J137" s="7">
        <f>(J136)+(0)</f>
        <v>5802.7899999999972</v>
      </c>
      <c r="K137" s="7">
        <f>(K136)+(0)</f>
        <v>0</v>
      </c>
      <c r="L137" s="7">
        <f t="shared" si="89"/>
        <v>5802.7899999999972</v>
      </c>
      <c r="M137" s="8" t="str">
        <f t="shared" si="90"/>
        <v/>
      </c>
      <c r="N137" s="7">
        <f>(N136)+(0)</f>
        <v>13.230000000003201</v>
      </c>
      <c r="O137" s="7">
        <f>(O136)+(0)</f>
        <v>0</v>
      </c>
      <c r="P137" s="7">
        <f t="shared" si="91"/>
        <v>13.230000000003201</v>
      </c>
      <c r="Q137" s="8" t="str">
        <f t="shared" si="92"/>
        <v/>
      </c>
      <c r="R137" s="7">
        <f>(R136)+(0)</f>
        <v>12.180000000000291</v>
      </c>
      <c r="S137" s="7">
        <f>(S136)+(0)</f>
        <v>0</v>
      </c>
      <c r="T137" s="7">
        <f t="shared" si="93"/>
        <v>12.180000000000291</v>
      </c>
      <c r="U137" s="8" t="str">
        <f t="shared" si="94"/>
        <v/>
      </c>
      <c r="V137" s="7">
        <f>(V136)+(0)</f>
        <v>15.330000000001746</v>
      </c>
      <c r="W137" s="7">
        <f>(W136)+(0)</f>
        <v>0</v>
      </c>
      <c r="X137" s="7">
        <f t="shared" si="95"/>
        <v>15.330000000001746</v>
      </c>
      <c r="Y137" s="8" t="str">
        <f t="shared" si="96"/>
        <v/>
      </c>
      <c r="Z137" s="7">
        <f>(Z136)+(0)</f>
        <v>14.119999999995343</v>
      </c>
      <c r="AA137" s="7">
        <f>(AA136)+(0)</f>
        <v>0</v>
      </c>
      <c r="AB137" s="7">
        <f t="shared" si="97"/>
        <v>14.119999999995343</v>
      </c>
      <c r="AC137" s="8" t="str">
        <f t="shared" si="98"/>
        <v/>
      </c>
      <c r="AD137" s="7">
        <f>(AD136)+(0)</f>
        <v>1679.8999999999978</v>
      </c>
      <c r="AE137" s="7">
        <f>(AE136)+(0)</f>
        <v>0</v>
      </c>
      <c r="AF137" s="7">
        <f t="shared" si="99"/>
        <v>1679.8999999999978</v>
      </c>
      <c r="AG137" s="8" t="str">
        <f t="shared" si="100"/>
        <v/>
      </c>
      <c r="AH137" s="7">
        <f>(AH136)+(0)</f>
        <v>14.759999999994761</v>
      </c>
      <c r="AI137" s="7">
        <f>(AI136)+(0)</f>
        <v>0</v>
      </c>
      <c r="AJ137" s="7">
        <f t="shared" si="101"/>
        <v>14.759999999994761</v>
      </c>
      <c r="AK137" s="8" t="str">
        <f t="shared" si="102"/>
        <v/>
      </c>
      <c r="AL137" s="7">
        <f>(AL136)+(0)</f>
        <v>12.229999999995925</v>
      </c>
      <c r="AM137" s="7">
        <f>(AM136)+(0)</f>
        <v>0</v>
      </c>
      <c r="AN137" s="7">
        <f t="shared" si="103"/>
        <v>12.229999999995925</v>
      </c>
      <c r="AO137" s="8" t="str">
        <f t="shared" si="104"/>
        <v/>
      </c>
      <c r="AP137" s="7">
        <f>(AP136)+(0)</f>
        <v>11.849999999994907</v>
      </c>
      <c r="AQ137" s="7">
        <f>(AQ136)+(0)</f>
        <v>0</v>
      </c>
      <c r="AR137" s="7">
        <f t="shared" si="105"/>
        <v>11.849999999994907</v>
      </c>
      <c r="AS137" s="8" t="str">
        <f t="shared" si="106"/>
        <v/>
      </c>
      <c r="AT137" s="7">
        <f>(AT136)+(0)</f>
        <v>-2146.5199999999968</v>
      </c>
      <c r="AU137" s="7">
        <f>(AU136)+(0)</f>
        <v>0</v>
      </c>
      <c r="AV137" s="7">
        <f t="shared" si="107"/>
        <v>-2146.5199999999968</v>
      </c>
      <c r="AW137" s="8" t="str">
        <f t="shared" si="108"/>
        <v/>
      </c>
      <c r="AX137" s="7">
        <f t="shared" si="109"/>
        <v>-508.96000000002095</v>
      </c>
      <c r="AY137" s="7">
        <f t="shared" si="110"/>
        <v>0</v>
      </c>
      <c r="AZ137" s="7">
        <f t="shared" si="111"/>
        <v>-508.96000000002095</v>
      </c>
      <c r="BA137" s="8" t="str">
        <f t="shared" si="112"/>
        <v/>
      </c>
    </row>
    <row r="138" spans="1:53" x14ac:dyDescent="0.25">
      <c r="A138" s="3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</row>
    <row r="141" spans="1:53" x14ac:dyDescent="0.25">
      <c r="A141" s="11" t="s">
        <v>151</v>
      </c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</row>
  </sheetData>
  <mergeCells count="17">
    <mergeCell ref="R5:U5"/>
    <mergeCell ref="AP5:AS5"/>
    <mergeCell ref="AT5:AW5"/>
    <mergeCell ref="AX5:BA5"/>
    <mergeCell ref="A141:BA141"/>
    <mergeCell ref="A1:BA1"/>
    <mergeCell ref="A2:BA2"/>
    <mergeCell ref="A3:BA3"/>
    <mergeCell ref="V5:Y5"/>
    <mergeCell ref="Z5:AC5"/>
    <mergeCell ref="AD5:AG5"/>
    <mergeCell ref="AH5:AK5"/>
    <mergeCell ref="AL5:AO5"/>
    <mergeCell ref="B5:E5"/>
    <mergeCell ref="F5:I5"/>
    <mergeCell ref="J5:M5"/>
    <mergeCell ref="N5:Q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3E84DAAD572049970A785D5B607B18" ma:contentTypeVersion="" ma:contentTypeDescription="Create a new document." ma:contentTypeScope="" ma:versionID="6983216a39e1fc7140d8ee3af9a3c13d">
  <xsd:schema xmlns:xsd="http://www.w3.org/2001/XMLSchema" xmlns:xs="http://www.w3.org/2001/XMLSchema" xmlns:p="http://schemas.microsoft.com/office/2006/metadata/properties" xmlns:ns2="3E1FEAD8-66C8-4AC3-9426-453F41452C22" xmlns:ns3="3e1fead8-66c8-4ac3-9426-453f41452c22" xmlns:ns4="8eea684e-2edb-475f-bb3f-7f71668ef51e" targetNamespace="http://schemas.microsoft.com/office/2006/metadata/properties" ma:root="true" ma:fieldsID="075dd802353ce2fce5f5d999e9db5408" ns2:_="" ns3:_="" ns4:_="">
    <xsd:import namespace="3E1FEAD8-66C8-4AC3-9426-453F41452C22"/>
    <xsd:import namespace="3e1fead8-66c8-4ac3-9426-453f41452c22"/>
    <xsd:import namespace="8eea684e-2edb-475f-bb3f-7f71668ef5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1FEAD8-66C8-4AC3-9426-453F41452C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1fead8-66c8-4ac3-9426-453f41452c22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a684e-2edb-475f-bb3f-7f71668ef51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2622D4-A8E8-46C3-BE9C-6B09EC69CF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1FEAD8-66C8-4AC3-9426-453F41452C22"/>
    <ds:schemaRef ds:uri="3e1fead8-66c8-4ac3-9426-453f41452c22"/>
    <ds:schemaRef ds:uri="8eea684e-2edb-475f-bb3f-7f71668ef5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753B806-299A-4A39-978E-7B703ABEE9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142991-3849-4BF0-8694-4FA0B3A9313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vs. Actuals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Tracy Brown</cp:lastModifiedBy>
  <cp:revision/>
  <dcterms:created xsi:type="dcterms:W3CDTF">2020-10-06T18:22:21Z</dcterms:created>
  <dcterms:modified xsi:type="dcterms:W3CDTF">2020-10-09T14:19:34Z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0x010100133E84DAAD572049970A785D5B607B18</vt:lpwstr>
  </property>
</Properties>
</file>